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T:\Office\Angela\P&amp;C\Minutes\2024\"/>
    </mc:Choice>
  </mc:AlternateContent>
  <xr:revisionPtr revIDLastSave="0" documentId="8_{572E4A9C-8001-4262-BCC0-B979377FEB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 Event 2024" sheetId="1" r:id="rId1"/>
    <sheet name="For Playground" sheetId="2" r:id="rId2"/>
    <sheet name="Jan-May 2024" sheetId="3" r:id="rId3"/>
    <sheet name="Oct 2023" sheetId="4" r:id="rId4"/>
    <sheet name="Per Event 20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5" i="5" l="1"/>
  <c r="A217" i="5"/>
  <c r="E211" i="5"/>
  <c r="E202" i="5"/>
  <c r="E194" i="5"/>
  <c r="E203" i="5" s="1"/>
  <c r="E187" i="5"/>
  <c r="E188" i="5" s="1"/>
  <c r="E212" i="5" s="1"/>
  <c r="E181" i="5"/>
  <c r="E167" i="5"/>
  <c r="E168" i="5" s="1"/>
  <c r="E161" i="5"/>
  <c r="E147" i="5"/>
  <c r="E148" i="5" s="1"/>
  <c r="A141" i="5"/>
  <c r="E139" i="5"/>
  <c r="D124" i="5"/>
  <c r="D123" i="5"/>
  <c r="E126" i="5" s="1"/>
  <c r="D118" i="5"/>
  <c r="E120" i="5" s="1"/>
  <c r="E127" i="5" s="1"/>
  <c r="E113" i="5"/>
  <c r="E112" i="5"/>
  <c r="A107" i="5"/>
  <c r="E106" i="5"/>
  <c r="D104" i="5"/>
  <c r="E95" i="5"/>
  <c r="E92" i="5"/>
  <c r="E96" i="5" s="1"/>
  <c r="A89" i="5"/>
  <c r="E83" i="5"/>
  <c r="E84" i="5" s="1"/>
  <c r="E73" i="5"/>
  <c r="E64" i="5"/>
  <c r="E63" i="5"/>
  <c r="B58" i="5"/>
  <c r="B57" i="5"/>
  <c r="B54" i="5"/>
  <c r="B53" i="5"/>
  <c r="B52" i="5"/>
  <c r="B51" i="5"/>
  <c r="E48" i="5"/>
  <c r="E44" i="5"/>
  <c r="D25" i="5"/>
  <c r="E36" i="5" s="1"/>
  <c r="A23" i="5"/>
  <c r="D20" i="5"/>
  <c r="E13" i="5"/>
  <c r="E21" i="5" s="1"/>
  <c r="A13" i="5"/>
  <c r="A6" i="5"/>
  <c r="A121" i="5" s="1"/>
  <c r="A3" i="5"/>
  <c r="A153" i="5" s="1"/>
  <c r="C1" i="5"/>
  <c r="D35" i="4"/>
  <c r="A35" i="4"/>
  <c r="D34" i="4"/>
  <c r="A34" i="4"/>
  <c r="D33" i="4"/>
  <c r="D32" i="4"/>
  <c r="D30" i="4"/>
  <c r="D28" i="4"/>
  <c r="E52" i="4" s="1"/>
  <c r="D27" i="4"/>
  <c r="D17" i="4"/>
  <c r="D16" i="4"/>
  <c r="D15" i="4"/>
  <c r="D11" i="4"/>
  <c r="E32" i="3"/>
  <c r="E20" i="3"/>
  <c r="E33" i="3" s="1"/>
  <c r="E37" i="3" s="1"/>
  <c r="B25" i="2"/>
  <c r="D15" i="2"/>
  <c r="E15" i="2" s="1"/>
  <c r="C15" i="2"/>
  <c r="E5" i="2"/>
  <c r="E289" i="1"/>
  <c r="D285" i="1"/>
  <c r="A281" i="1"/>
  <c r="E279" i="1"/>
  <c r="E290" i="1" s="1"/>
  <c r="D275" i="1"/>
  <c r="E267" i="1"/>
  <c r="D257" i="1"/>
  <c r="D255" i="1"/>
  <c r="D254" i="1"/>
  <c r="E258" i="1" s="1"/>
  <c r="E268" i="1" s="1"/>
  <c r="D235" i="1"/>
  <c r="D234" i="1"/>
  <c r="E246" i="1" s="1"/>
  <c r="E232" i="1"/>
  <c r="E247" i="1" s="1"/>
  <c r="D231" i="1"/>
  <c r="D230" i="1"/>
  <c r="D211" i="1"/>
  <c r="E217" i="1" s="1"/>
  <c r="E218" i="1" s="1"/>
  <c r="A210" i="1"/>
  <c r="E209" i="1"/>
  <c r="E194" i="1"/>
  <c r="E193" i="1"/>
  <c r="A190" i="1"/>
  <c r="D178" i="1"/>
  <c r="D176" i="1"/>
  <c r="D175" i="1"/>
  <c r="E180" i="1" s="1"/>
  <c r="A172" i="1"/>
  <c r="D170" i="1"/>
  <c r="D168" i="1"/>
  <c r="F168" i="1" s="1"/>
  <c r="E162" i="1"/>
  <c r="E161" i="1"/>
  <c r="A154" i="1"/>
  <c r="A151" i="1"/>
  <c r="E147" i="1"/>
  <c r="A140" i="1"/>
  <c r="E138" i="1"/>
  <c r="E148" i="1" s="1"/>
  <c r="E131" i="1"/>
  <c r="A131" i="1"/>
  <c r="E125" i="1"/>
  <c r="E126" i="1" s="1"/>
  <c r="E116" i="1"/>
  <c r="J113" i="1"/>
  <c r="G112" i="1"/>
  <c r="J112" i="1" s="1"/>
  <c r="E111" i="1"/>
  <c r="J109" i="1"/>
  <c r="J108" i="1"/>
  <c r="J107" i="1"/>
  <c r="E107" i="1"/>
  <c r="E104" i="1"/>
  <c r="J103" i="1"/>
  <c r="E101" i="1"/>
  <c r="E105" i="1" s="1"/>
  <c r="E98" i="1"/>
  <c r="G97" i="1"/>
  <c r="J97" i="1" s="1"/>
  <c r="E97" i="1"/>
  <c r="G96" i="1"/>
  <c r="J96" i="1" s="1"/>
  <c r="J115" i="1" s="1"/>
  <c r="E96" i="1"/>
  <c r="D96" i="1"/>
  <c r="E85" i="1"/>
  <c r="A77" i="1"/>
  <c r="E75" i="1"/>
  <c r="D68" i="1"/>
  <c r="E69" i="1" s="1"/>
  <c r="E63" i="1"/>
  <c r="E64" i="1" s="1"/>
  <c r="B58" i="1"/>
  <c r="B57" i="1"/>
  <c r="B54" i="1"/>
  <c r="B53" i="1"/>
  <c r="B52" i="1"/>
  <c r="B51" i="1"/>
  <c r="A49" i="1"/>
  <c r="E48" i="1"/>
  <c r="E44" i="1"/>
  <c r="A44" i="1"/>
  <c r="A111" i="1" s="1"/>
  <c r="E36" i="1"/>
  <c r="D25" i="1"/>
  <c r="D24" i="1"/>
  <c r="A23" i="1"/>
  <c r="D20" i="1"/>
  <c r="E13" i="1"/>
  <c r="E21" i="1" s="1"/>
  <c r="E37" i="1" s="1"/>
  <c r="A13" i="1"/>
  <c r="A6" i="1"/>
  <c r="A233" i="1" s="1"/>
  <c r="A3" i="1"/>
  <c r="A201" i="1" s="1"/>
  <c r="C1" i="1"/>
  <c r="E86" i="1" l="1"/>
  <c r="F86" i="1" s="1"/>
  <c r="E37" i="5"/>
  <c r="A173" i="5"/>
  <c r="A102" i="5"/>
  <c r="A98" i="1"/>
  <c r="D18" i="4"/>
  <c r="E25" i="4" s="1"/>
  <c r="E53" i="4" s="1"/>
  <c r="E57" i="4" s="1"/>
  <c r="A223" i="1"/>
  <c r="A44" i="5"/>
  <c r="A69" i="5"/>
  <c r="A132" i="5"/>
  <c r="A69" i="1"/>
  <c r="E171" i="1"/>
  <c r="E181" i="1" s="1"/>
  <c r="A102" i="1"/>
  <c r="A157" i="1"/>
  <c r="A259" i="1"/>
  <c r="A117" i="1"/>
  <c r="A75" i="5"/>
  <c r="A49" i="5"/>
  <c r="A166" i="1"/>
  <c r="A117" i="5"/>
  <c r="A205" i="5"/>
  <c r="A93" i="5"/>
</calcChain>
</file>

<file path=xl/sharedStrings.xml><?xml version="1.0" encoding="utf-8"?>
<sst xmlns="http://schemas.openxmlformats.org/spreadsheetml/2006/main" count="663" uniqueCount="264">
  <si>
    <t>Templates &gt;</t>
  </si>
  <si>
    <t>Add sources of revenue:</t>
  </si>
  <si>
    <t>Less Expenditures:</t>
  </si>
  <si>
    <t>Details</t>
  </si>
  <si>
    <t>search invoice number in gmail to get invoiced details</t>
  </si>
  <si>
    <t>Yearbook 2023</t>
  </si>
  <si>
    <t>Printing (qty: 46 )</t>
  </si>
  <si>
    <t>School Photographers</t>
  </si>
  <si>
    <t>Trivia Night 6th April 2024</t>
  </si>
  <si>
    <t>Alison</t>
  </si>
  <si>
    <t>Cash - Float start</t>
  </si>
  <si>
    <t>Cash -Float remained</t>
  </si>
  <si>
    <t>banked</t>
  </si>
  <si>
    <t>EFTPOS Machine #1</t>
  </si>
  <si>
    <t>EFTPOS Machine #2</t>
  </si>
  <si>
    <t>Flexischools Ticket Sales</t>
  </si>
  <si>
    <t>52 sales/ $25 per ticket = 96 pretickets sold</t>
  </si>
  <si>
    <t>Sponsorship</t>
  </si>
  <si>
    <t>Cash - banked</t>
  </si>
  <si>
    <t>Cash - used to reimburse expenses</t>
  </si>
  <si>
    <t>Total:</t>
  </si>
  <si>
    <t>EFTPOS Merchant fee</t>
  </si>
  <si>
    <t>Flexischools fees (3%)</t>
  </si>
  <si>
    <t>Trivia Host Pete*</t>
  </si>
  <si>
    <t>*reimbursed with cash revenue on the night</t>
  </si>
  <si>
    <t>Frames, and posters printing*</t>
  </si>
  <si>
    <t>Cadbury Favourites x2</t>
  </si>
  <si>
    <t>Spotlight: Electric pump</t>
  </si>
  <si>
    <t>Balloons and spoons</t>
  </si>
  <si>
    <t>double sided tape 24x33</t>
  </si>
  <si>
    <t>balloon sets x13 and Press on nails</t>
  </si>
  <si>
    <t xml:space="preserve">Curtains x 3 </t>
  </si>
  <si>
    <t>Table food: lollies</t>
  </si>
  <si>
    <t>Table food: Biscuits</t>
  </si>
  <si>
    <t>Gross Profit/Loss</t>
  </si>
  <si>
    <t>Mother's Day Stall 9th May 2024</t>
  </si>
  <si>
    <t>Cash only</t>
  </si>
  <si>
    <t>Yasmin/Nadine</t>
  </si>
  <si>
    <t>&lt;-means profits was taken from event to add to float</t>
  </si>
  <si>
    <t>Cash - Notes banked</t>
  </si>
  <si>
    <t>Cash - Coins banked</t>
  </si>
  <si>
    <t>Cash - 2nd event banked</t>
  </si>
  <si>
    <t>Transaction Reject -Return fee</t>
  </si>
  <si>
    <t>N/A</t>
  </si>
  <si>
    <t xml:space="preserve">paid </t>
  </si>
  <si>
    <t>Crown Concepts 120pc</t>
  </si>
  <si>
    <t>pcs</t>
  </si>
  <si>
    <t xml:space="preserve">School Gifts </t>
  </si>
  <si>
    <t>moon &amp; back</t>
  </si>
  <si>
    <t>Inna V</t>
  </si>
  <si>
    <t>Happier Self Design</t>
  </si>
  <si>
    <t>Little Olive Creates</t>
  </si>
  <si>
    <t>Mumslink</t>
  </si>
  <si>
    <t>Smart Gifts</t>
  </si>
  <si>
    <t>Sejal Keyrings</t>
  </si>
  <si>
    <t>Keychain</t>
  </si>
  <si>
    <t xml:space="preserve">Packaging from Ronis </t>
  </si>
  <si>
    <t>Packaging from Spotlight</t>
  </si>
  <si>
    <t>Disco 6th June 2024</t>
  </si>
  <si>
    <t>Shanna</t>
  </si>
  <si>
    <t>&lt;-means (minus)= profits was taken from event to add to float</t>
  </si>
  <si>
    <t>Snowcone &amp; Popcorn</t>
  </si>
  <si>
    <t>Fudge Shop Hire 0409845558 | Popcorn Machine Hire 900 serves $225+GST | Popcorn Cart $0 | 2x Snow Cone Machine Hire 450 serves $210 + GST | 24 x5 kg bags ice + large esky $60 +GST | Delivery $150 +gst | 19/5/2023 inv 1429</t>
  </si>
  <si>
    <t>DJ - bop till you drop</t>
  </si>
  <si>
    <t>$54 Gift vouchers for dancers (2x$30) Coles| $15 chips 2x20pks Coles| $91.88 Lollies - Campbells</t>
  </si>
  <si>
    <t>Facepaint</t>
  </si>
  <si>
    <t xml:space="preserve">DJ CIty 2 x Lights $125.4 | 6pk Face &amp; Body paints $9 ea | Make up brush cleaner x 3 $4 ea | 25pk brush set $7.5 ea | 5pk paint brush $5.5. We did not use a DJ company, we did the music ourselves and purchased 2 x black lights from a business called "DJ City" for approx $125. </t>
  </si>
  <si>
    <t>papertowels and ribbons to tire ballons</t>
  </si>
  <si>
    <t>Literacy Lovers Day -(School Initiative, paid through P&amp;C account to school)</t>
  </si>
  <si>
    <t>Return &amp; Earn -(School Initiative, paid through P&amp;C account to school)</t>
  </si>
  <si>
    <t>There is a fridge/freezer at Henry Alfred Whaling</t>
  </si>
  <si>
    <t>3-6 Athletics Carnival 26 June 2024</t>
  </si>
  <si>
    <t>Olivia</t>
  </si>
  <si>
    <t>SOLD for</t>
  </si>
  <si>
    <t>Gatorades @$2.4 ea</t>
  </si>
  <si>
    <t>Fruits in Jelly @$2.2 ea</t>
  </si>
  <si>
    <t>pack of 30 water (Costco)</t>
  </si>
  <si>
    <t>gloves</t>
  </si>
  <si>
    <t>Box of Tissue</t>
  </si>
  <si>
    <t>Paper Towels</t>
  </si>
  <si>
    <t>Rubbish bags</t>
  </si>
  <si>
    <t>Reimbursements</t>
  </si>
  <si>
    <t>*reimbursed from float</t>
  </si>
  <si>
    <t>Veggie straws (costco box)</t>
  </si>
  <si>
    <t>bread (1 loaf makes 8 sandwiches)</t>
  </si>
  <si>
    <t>*for sports scholarship</t>
  </si>
  <si>
    <t>ham</t>
  </si>
  <si>
    <t>started off with 1085, minus expenses,-float left</t>
  </si>
  <si>
    <t>1 dozen eggs</t>
  </si>
  <si>
    <t>this is $ not from sales</t>
  </si>
  <si>
    <t>cup noodles (only for adults, need to bring kettle)</t>
  </si>
  <si>
    <t>Father's Day Stall 29th August 2024</t>
  </si>
  <si>
    <t>Strawberry pallets @$5.5 ea (113 berries)</t>
  </si>
  <si>
    <t>Choc melts @$3 ea</t>
  </si>
  <si>
    <t xml:space="preserve">Copha </t>
  </si>
  <si>
    <t>Popcorn @$2.75 ea</t>
  </si>
  <si>
    <t>Zooper Dooper @$7 ea</t>
  </si>
  <si>
    <t>ice</t>
  </si>
  <si>
    <t>Products from Moon &amp; back</t>
  </si>
  <si>
    <t>Moon &amp; Back 03 94361887 | 23/6/2023 Inv MB4595</t>
  </si>
  <si>
    <t>Products from Mumslink</t>
  </si>
  <si>
    <t>Products from Crown Concept</t>
  </si>
  <si>
    <t>Products from School Gifts</t>
  </si>
  <si>
    <t>School Gifts 03 94011066 | 24/6/2023 Inv 30755</t>
  </si>
  <si>
    <t>Products from Keyrings</t>
  </si>
  <si>
    <t>Products from Smart Gifts</t>
  </si>
  <si>
    <t>Election BBQ 14th Sept 2024 (local)</t>
  </si>
  <si>
    <t>Hei Jin</t>
  </si>
  <si>
    <t>EFTPOS Machine -next day settlement</t>
  </si>
  <si>
    <t>EFTPOS -AMEX used</t>
  </si>
  <si>
    <t>no eggs for this BBQ. minimum sausage &amp; bread</t>
  </si>
  <si>
    <t xml:space="preserve">IGA </t>
  </si>
  <si>
    <t>no detail on invoice 2023 | Free bread and sausages</t>
  </si>
  <si>
    <t>Reimbursement - Onions</t>
  </si>
  <si>
    <t>20kg</t>
  </si>
  <si>
    <t xml:space="preserve">Masterfoods: American Mustard Squeeze 550ml x 1 | BBQ Squeeze 500ml x 1 | Tomato Squeeze 500ml x 2 | 2L tomato Fountain | 2L BBQ Fountain </t>
  </si>
  <si>
    <t xml:space="preserve"> 15kg onions ($37 Woolworths)</t>
  </si>
  <si>
    <t>2nd Hand Uniform -16th Sep 2024 (School Initiative, uses P&amp;C EFTPOS machine)</t>
  </si>
  <si>
    <t>-eftpos fees</t>
  </si>
  <si>
    <t>2nd Hand Uniform -18th Oct 2024 (School Initiative, uses P&amp;C EFTPOS machine)</t>
  </si>
  <si>
    <t>Grandparents' Day - 22 Oct 2024</t>
  </si>
  <si>
    <t>Bella pizza: - 40 pizzas worth $700 + large greek salad</t>
  </si>
  <si>
    <t>milk</t>
  </si>
  <si>
    <t>Coles $200 giftcard - for use to buy stuff</t>
  </si>
  <si>
    <t>100 plates, 100 servettes, 88 cans drinks, 7pk of 12 various chocs "fun packs"</t>
  </si>
  <si>
    <t>Colour Run - 24 Oct 2024</t>
  </si>
  <si>
    <t>Online only</t>
  </si>
  <si>
    <t>Cash received</t>
  </si>
  <si>
    <t>Donations</t>
  </si>
  <si>
    <t>Headbands (450pc)</t>
  </si>
  <si>
    <t>Aust Fundraising 07 32790140 | 26/6/2023 Inv 00058265</t>
  </si>
  <si>
    <t>Powders 90kg 6 colours</t>
  </si>
  <si>
    <t>$80/10kg</t>
  </si>
  <si>
    <t>mycause - platform fee</t>
  </si>
  <si>
    <t>mycause - bank fee</t>
  </si>
  <si>
    <t>Ice 6 pks of 5kg</t>
  </si>
  <si>
    <t>Sue Taylor reimburse</t>
  </si>
  <si>
    <t>Sprinklers: unicorn and ?gorilla</t>
  </si>
  <si>
    <t>Myer and Amazon</t>
  </si>
  <si>
    <t>bubbles 4L</t>
  </si>
  <si>
    <t>Kmart</t>
  </si>
  <si>
    <t>Osh donated 2x24 packs bottled water for the volunteers</t>
  </si>
  <si>
    <t xml:space="preserve">K-2 Athletics Carnival </t>
  </si>
  <si>
    <t>Cancelled due to barriers in oval from Asbestos/playground. Making usual place for cake stall inaccessible. Resume next year</t>
  </si>
  <si>
    <t>World Teachers Day - 30 Oct 2024</t>
  </si>
  <si>
    <t>75 staff budget $1200</t>
  </si>
  <si>
    <t>Lunch Catering - Bella Pizza</t>
  </si>
  <si>
    <t>Coles &gt;see over -&gt;</t>
  </si>
  <si>
    <t>Disco Term 4 -28 November 2024 "Summer vibes"</t>
  </si>
  <si>
    <t>Cash - Float remained</t>
  </si>
  <si>
    <t>Pop corn &amp; Snow cone machine hire</t>
  </si>
  <si>
    <t xml:space="preserve">Fudge Shop Hire | Popcorn: 800 serves, 2 snow cone machines @ 450 serves each. 24x 5kg ice, </t>
  </si>
  <si>
    <t>DJ</t>
  </si>
  <si>
    <t>Bop till you Drop | 3.5hr</t>
  </si>
  <si>
    <t>face paint</t>
  </si>
  <si>
    <t>*Students request fundraise for poles</t>
  </si>
  <si>
    <t>Carols 14th December 2024</t>
  </si>
  <si>
    <t>?? Alison.</t>
  </si>
  <si>
    <t>Square</t>
  </si>
  <si>
    <t>Stalls</t>
  </si>
  <si>
    <t>ea</t>
  </si>
  <si>
    <t>Mr Creamy, Master Gozleme, pizza ink</t>
  </si>
  <si>
    <t>Sponsorships</t>
  </si>
  <si>
    <t>Square fees (1.6%)</t>
  </si>
  <si>
    <t>Flyers</t>
  </si>
  <si>
    <t>Booklets -Song book</t>
  </si>
  <si>
    <t>Kennards - lights</t>
  </si>
  <si>
    <t>Stage</t>
  </si>
  <si>
    <t>Reimbursement - glow stall</t>
  </si>
  <si>
    <t xml:space="preserve">Reimbursement - </t>
  </si>
  <si>
    <t>BBQ</t>
  </si>
  <si>
    <t>Gingerbread 2024</t>
  </si>
  <si>
    <t>Mardi</t>
  </si>
  <si>
    <t>Direct Transfer</t>
  </si>
  <si>
    <t>Gingerbread Folk event payout</t>
  </si>
  <si>
    <t>Order Gingerbread (early bird)</t>
  </si>
  <si>
    <t>Gingerbread Folk 02 47390950 | 80 x ~$10 ea Early bird | 1/5/23 Inv 516682</t>
  </si>
  <si>
    <t xml:space="preserve">Order Gingerbread </t>
  </si>
  <si>
    <t>Reimbursement - tableclothes</t>
  </si>
  <si>
    <t>Yearbook 2024</t>
  </si>
  <si>
    <t>Diane</t>
  </si>
  <si>
    <t>Print</t>
  </si>
  <si>
    <t xml:space="preserve">refunds </t>
  </si>
  <si>
    <t>Expenses still finalising</t>
  </si>
  <si>
    <t>*for yr 6 gift</t>
  </si>
  <si>
    <t>BHNPS Playground Fundraising &amp; Expenditure Summary (2019-2024)</t>
  </si>
  <si>
    <t>Funds Raised from Events</t>
  </si>
  <si>
    <t>Year</t>
  </si>
  <si>
    <t>Event</t>
  </si>
  <si>
    <t>Net Profit ($) 
-unless otherwise stated</t>
  </si>
  <si>
    <t>Grants ($)</t>
  </si>
  <si>
    <t>Total (Grant + Profit) ($)</t>
  </si>
  <si>
    <t>Other Notes</t>
  </si>
  <si>
    <t>Net profit from P&amp;L report</t>
  </si>
  <si>
    <t>Included in P&amp;L report, Colour Run (Gross) is $35868.09</t>
  </si>
  <si>
    <t>Grants</t>
  </si>
  <si>
    <t>Included in P&amp;L report, Colour Run (Gross) is $38658.28</t>
  </si>
  <si>
    <t>Colour Run (Gross)</t>
  </si>
  <si>
    <t>No fundraiser due to COVID</t>
  </si>
  <si>
    <t>No grants</t>
  </si>
  <si>
    <t>Total</t>
  </si>
  <si>
    <t>Expenditure on Playground Projects</t>
  </si>
  <si>
    <t>Date</t>
  </si>
  <si>
    <t>Amount Spent</t>
  </si>
  <si>
    <t>Project Description</t>
  </si>
  <si>
    <t>Bush Tucker Garden</t>
  </si>
  <si>
    <t>Fitness Park Facility</t>
  </si>
  <si>
    <t>Pinnacle Skyclimber (1st Install)</t>
  </si>
  <si>
    <t>Pinnacle Skyclimber (2nd Install)</t>
  </si>
  <si>
    <t>Infant Playground (Stage 3) - Slide</t>
  </si>
  <si>
    <t>Holding at Asset Management</t>
  </si>
  <si>
    <t>Total Spent on Playground</t>
  </si>
  <si>
    <t>Treasurer's Report</t>
  </si>
  <si>
    <t>Baulkham Hills North Public School P&amp;C Association</t>
  </si>
  <si>
    <t xml:space="preserve">Account: </t>
  </si>
  <si>
    <t>2279 1020 2599</t>
  </si>
  <si>
    <t>Opening Cash Balance per account on:</t>
  </si>
  <si>
    <t>Bank Interest</t>
  </si>
  <si>
    <t>Membership</t>
  </si>
  <si>
    <t>Events:</t>
  </si>
  <si>
    <t>Trivia</t>
  </si>
  <si>
    <t>2023 Yearbook</t>
  </si>
  <si>
    <t>Others</t>
  </si>
  <si>
    <t>EFTPOS Merchant Fees</t>
  </si>
  <si>
    <t>Bank fees</t>
  </si>
  <si>
    <t>Event expenditures:</t>
  </si>
  <si>
    <t>Mothers Day stall</t>
  </si>
  <si>
    <t>Disco T2</t>
  </si>
  <si>
    <t>Others:</t>
  </si>
  <si>
    <t>Funds remaining per account on:</t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</si>
  <si>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Total: </t>
    </r>
  </si>
  <si>
    <t>Building Fund account balance</t>
  </si>
  <si>
    <t>Total P&amp;C funds</t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</si>
  <si>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Total: </t>
    </r>
  </si>
  <si>
    <t>Month/Year:</t>
  </si>
  <si>
    <t>to Sep</t>
  </si>
  <si>
    <t>Balance transfer from Closing Uniform Shop Account</t>
  </si>
  <si>
    <t>3-6 Athletics Carnival- Cash only event</t>
  </si>
  <si>
    <t>Father's Day Stall - Cash only event</t>
  </si>
  <si>
    <t>Colour run - Sponsorship</t>
  </si>
  <si>
    <t>Colour run - donations</t>
  </si>
  <si>
    <t xml:space="preserve">P&amp;C Federation annual membership </t>
  </si>
  <si>
    <t>Annual Insurance</t>
  </si>
  <si>
    <t>Colour run - powders and headbands</t>
  </si>
  <si>
    <t>Colour run - sprinklers and bubbles</t>
  </si>
  <si>
    <t>Donations to School</t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</si>
  <si>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Total: </t>
    </r>
  </si>
  <si>
    <t>Westpac Account balance</t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</si>
  <si>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Total: </t>
    </r>
  </si>
  <si>
    <t>Disco 15th June 2024</t>
  </si>
  <si>
    <t>cash only</t>
  </si>
  <si>
    <t>Fudge Shop Hire 0409845558 | Popcorn Machine Hire 500 serves $225+GST | Popcorn Cart $0 | Snow Cone Machine Hire 400 serves $210 + GST | 12 bags ice + large esky $60 +GST | Delivery $150 +gst | 19/5/2023 inv 1429</t>
  </si>
  <si>
    <t>Reimbursement -Jade (Chips, lollies, vouchers)</t>
  </si>
  <si>
    <t>3-6 Athletics Carnival 1st August 2023</t>
  </si>
  <si>
    <t>Father's Day Stall 29th August 2023</t>
  </si>
  <si>
    <t>Colour Run - 12th Sept 2023</t>
  </si>
  <si>
    <t>Referredum BBQ 14th October 2023</t>
  </si>
  <si>
    <t>IGA - Ice, bacon &amp; eggs</t>
  </si>
  <si>
    <t>Reimbursement - Sauces</t>
  </si>
  <si>
    <t>Reimbursement - Eggs</t>
  </si>
  <si>
    <t>Disco Term 4 November 2023</t>
  </si>
  <si>
    <t>Carols 2nd December 2023</t>
  </si>
  <si>
    <t>Gingerbread Houses December2023</t>
  </si>
  <si>
    <t>Order Gingerbread (3/5)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</si>
</sst>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&quot;$&quot;#,##0.00"/>
    <numFmt numFmtId="165" formatCode="d/m/yyyy"/>
    <numFmt numFmtId="166" formatCode="&quot;$&quot;#,##0"/>
    <numFmt numFmtId="167" formatCode="d&quot; &quot;mmm&quot; &quot;yyyy"/>
    <numFmt numFmtId="168" formatCode="d/m"/>
    <numFmt numFmtId="169" formatCode="yyyy\-mm\-dd"/>
    <numFmt numFmtId="170" formatCode="d\ mmmm\ yyyy"/>
    <numFmt numFmtId="171" formatCode="yyyy\ mmmm"/>
  </numFmts>
  <fonts count="15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u/>
      <sz val="10"/>
      <color theme="1"/>
      <name val="Arial"/>
      <scheme val="minor"/>
    </font>
    <font>
      <sz val="9"/>
      <color rgb="FF1F1F1F"/>
      <name val="&quot;Google Sans&quot;"/>
    </font>
    <font>
      <sz val="10"/>
      <color rgb="FF000000"/>
      <name val="Arial"/>
    </font>
    <font>
      <sz val="11"/>
      <color rgb="FF1F1F1F"/>
      <name val="&quot;Google Sans&quot;"/>
    </font>
    <font>
      <b/>
      <u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3"/>
      <color theme="1"/>
      <name val="Arial"/>
      <scheme val="minor"/>
    </font>
    <font>
      <b/>
      <sz val="12"/>
      <color theme="1"/>
      <name val="Arial"/>
      <scheme val="minor"/>
    </font>
    <font>
      <b/>
      <sz val="14"/>
      <color theme="1"/>
      <name val="Arial"/>
      <scheme val="minor"/>
    </font>
    <font>
      <sz val="12"/>
      <color theme="1"/>
      <name val="Arial"/>
      <scheme val="minor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1" fillId="0" borderId="0" xfId="0" applyNumberFormat="1" applyFont="1"/>
    <xf numFmtId="165" fontId="1" fillId="0" borderId="0" xfId="0" applyNumberFormat="1" applyFont="1"/>
    <xf numFmtId="0" fontId="4" fillId="2" borderId="0" xfId="0" applyFont="1" applyFill="1"/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1" xfId="0" applyNumberFormat="1" applyFont="1" applyBorder="1"/>
    <xf numFmtId="166" fontId="2" fillId="0" borderId="0" xfId="0" applyNumberFormat="1" applyFont="1"/>
    <xf numFmtId="167" fontId="1" fillId="0" borderId="0" xfId="0" applyNumberFormat="1" applyFont="1"/>
    <xf numFmtId="164" fontId="2" fillId="0" borderId="2" xfId="0" applyNumberFormat="1" applyFont="1" applyBorder="1"/>
    <xf numFmtId="0" fontId="1" fillId="0" borderId="0" xfId="0" applyFont="1" applyAlignment="1">
      <alignment horizontal="right"/>
    </xf>
    <xf numFmtId="168" fontId="1" fillId="0" borderId="0" xfId="0" applyNumberFormat="1" applyFont="1"/>
    <xf numFmtId="0" fontId="6" fillId="2" borderId="0" xfId="0" applyFont="1" applyFill="1"/>
    <xf numFmtId="164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9" fillId="0" borderId="0" xfId="0" applyFont="1"/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167" fontId="8" fillId="0" borderId="0" xfId="0" applyNumberFormat="1" applyFont="1"/>
    <xf numFmtId="164" fontId="9" fillId="0" borderId="2" xfId="0" applyNumberFormat="1" applyFont="1" applyBorder="1" applyAlignment="1">
      <alignment horizontal="right"/>
    </xf>
    <xf numFmtId="166" fontId="1" fillId="0" borderId="1" xfId="0" applyNumberFormat="1" applyFont="1" applyBorder="1"/>
    <xf numFmtId="10" fontId="1" fillId="0" borderId="0" xfId="0" applyNumberFormat="1" applyFont="1"/>
    <xf numFmtId="0" fontId="10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169" fontId="1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/>
    <xf numFmtId="170" fontId="1" fillId="0" borderId="0" xfId="0" applyNumberFormat="1" applyFont="1"/>
    <xf numFmtId="171" fontId="1" fillId="0" borderId="0" xfId="0" applyNumberFormat="1" applyFont="1"/>
  </cellXfs>
  <cellStyles count="1">
    <cellStyle name="Normal" xfId="0" builtinId="0"/>
  </cellStyles>
  <dxfs count="8">
    <dxf>
      <fill>
        <patternFill patternType="solid">
          <fgColor rgb="FFDEDEDE"/>
          <bgColor rgb="FFDEDEDE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or Playground-style" pivot="0" count="4" xr9:uid="{00000000-0011-0000-FFFF-FFFF00000000}">
      <tableStyleElement type="headerRow" dxfId="7"/>
      <tableStyleElement type="totalRow" dxfId="4"/>
      <tableStyleElement type="firstRowStripe" dxfId="6"/>
      <tableStyleElement type="secondRowStripe" dxfId="5"/>
    </tableStyle>
    <tableStyle name="For Playground-style 2" pivot="0" count="4" xr9:uid="{00000000-0011-0000-FFFF-FFFF01000000}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15">
  <tableColumns count="6">
    <tableColumn id="1" xr3:uid="{00000000-0010-0000-0000-000001000000}" name="Year"/>
    <tableColumn id="2" xr3:uid="{00000000-0010-0000-0000-000002000000}" name="Event"/>
    <tableColumn id="3" xr3:uid="{00000000-0010-0000-0000-000003000000}" name="Net Profit ($) _x000a_-unless otherwise stated"/>
    <tableColumn id="4" xr3:uid="{00000000-0010-0000-0000-000004000000}" name="Grants ($)"/>
    <tableColumn id="5" xr3:uid="{00000000-0010-0000-0000-000005000000}" name="Total (Grant + Profit) ($)"/>
    <tableColumn id="6" xr3:uid="{00000000-0010-0000-0000-000006000000}" name="Other Notes"/>
  </tableColumns>
  <tableStyleInfo name="For Playground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8:D25" headerRowCount="0">
  <tableColumns count="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</tableColumns>
  <tableStyleInfo name="For Playground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29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2" max="2" width="18.140625" customWidth="1"/>
    <col min="9" max="9" width="15.42578125" customWidth="1"/>
  </cols>
  <sheetData>
    <row r="1" spans="1:8">
      <c r="A1" s="1" t="s">
        <v>0</v>
      </c>
      <c r="B1" s="2" t="s">
        <v>1</v>
      </c>
      <c r="C1" s="2">
        <f>'Jan-May 2024'!C16</f>
        <v>0</v>
      </c>
      <c r="D1" s="2" t="s">
        <v>2</v>
      </c>
      <c r="G1" s="2" t="s">
        <v>3</v>
      </c>
      <c r="H1" s="1" t="s">
        <v>4</v>
      </c>
    </row>
    <row r="2" spans="1:8">
      <c r="A2" s="3" t="s">
        <v>5</v>
      </c>
    </row>
    <row r="3" spans="1:8">
      <c r="A3" s="2" t="str">
        <f>$B$1</f>
        <v>Add sources of revenue:</v>
      </c>
    </row>
    <row r="6" spans="1:8">
      <c r="A6" s="2" t="str">
        <f>$D$1</f>
        <v>Less Expenditures:</v>
      </c>
    </row>
    <row r="7" spans="1:8">
      <c r="A7" s="4" t="s">
        <v>6</v>
      </c>
      <c r="B7" s="4"/>
      <c r="C7" s="4"/>
      <c r="D7" s="5">
        <v>1315.6</v>
      </c>
      <c r="E7" s="6">
        <v>45332</v>
      </c>
      <c r="F7" s="1" t="s">
        <v>7</v>
      </c>
      <c r="G7" s="7"/>
    </row>
    <row r="8" spans="1:8">
      <c r="A8" s="4"/>
      <c r="B8" s="4"/>
      <c r="C8" s="4"/>
      <c r="D8" s="5"/>
    </row>
    <row r="10" spans="1:8">
      <c r="A10" s="3" t="s">
        <v>8</v>
      </c>
      <c r="D10" s="1" t="s">
        <v>9</v>
      </c>
    </row>
    <row r="11" spans="1:8">
      <c r="A11" s="4" t="s">
        <v>10</v>
      </c>
      <c r="B11" s="4"/>
      <c r="C11" s="4"/>
      <c r="D11" s="5">
        <v>500</v>
      </c>
    </row>
    <row r="12" spans="1:8">
      <c r="A12" s="4" t="s">
        <v>11</v>
      </c>
      <c r="B12" s="4"/>
      <c r="C12" s="4"/>
      <c r="D12" s="5">
        <v>400</v>
      </c>
    </row>
    <row r="13" spans="1:8">
      <c r="A13" s="2" t="str">
        <f>$B$1</f>
        <v>Add sources of revenue:</v>
      </c>
      <c r="E13" s="5">
        <f>D11-D12</f>
        <v>100</v>
      </c>
      <c r="F13" s="8" t="s">
        <v>12</v>
      </c>
    </row>
    <row r="14" spans="1:8">
      <c r="A14" s="4" t="s">
        <v>13</v>
      </c>
      <c r="B14" s="4"/>
      <c r="C14" s="4"/>
      <c r="D14" s="9">
        <v>1845</v>
      </c>
    </row>
    <row r="15" spans="1:8">
      <c r="A15" s="4" t="s">
        <v>14</v>
      </c>
      <c r="B15" s="4"/>
      <c r="C15" s="4"/>
      <c r="D15" s="9">
        <v>1280</v>
      </c>
    </row>
    <row r="16" spans="1:8">
      <c r="A16" s="4" t="s">
        <v>15</v>
      </c>
      <c r="B16" s="4"/>
      <c r="C16" s="4"/>
      <c r="D16" s="5">
        <v>2400</v>
      </c>
      <c r="E16" s="1" t="s">
        <v>16</v>
      </c>
    </row>
    <row r="17" spans="1:8">
      <c r="A17" s="4" t="s">
        <v>17</v>
      </c>
      <c r="B17" s="4"/>
      <c r="C17" s="4"/>
      <c r="D17" s="5">
        <v>100</v>
      </c>
    </row>
    <row r="18" spans="1:8">
      <c r="A18" s="4" t="s">
        <v>18</v>
      </c>
      <c r="B18" s="4"/>
      <c r="C18" s="4"/>
      <c r="D18" s="9">
        <v>497.5</v>
      </c>
    </row>
    <row r="19" spans="1:8">
      <c r="A19" s="4" t="s">
        <v>18</v>
      </c>
      <c r="B19" s="4"/>
      <c r="C19" s="4"/>
      <c r="D19" s="5">
        <v>128.25</v>
      </c>
    </row>
    <row r="20" spans="1:8">
      <c r="A20" s="1" t="s">
        <v>19</v>
      </c>
      <c r="D20" s="10">
        <f>SUM(D26:D28)</f>
        <v>484.5</v>
      </c>
    </row>
    <row r="21" spans="1:8">
      <c r="C21" s="11"/>
      <c r="D21" s="11" t="s">
        <v>20</v>
      </c>
      <c r="E21" s="12">
        <f>SUM(D14:D20)-E13</f>
        <v>6635.25</v>
      </c>
    </row>
    <row r="22" spans="1:8">
      <c r="A22" s="2"/>
    </row>
    <row r="23" spans="1:8">
      <c r="A23" s="2" t="str">
        <f>$D$1</f>
        <v>Less Expenditures:</v>
      </c>
    </row>
    <row r="24" spans="1:8">
      <c r="A24" s="4" t="s">
        <v>21</v>
      </c>
      <c r="B24" s="4"/>
      <c r="C24" s="4"/>
      <c r="D24" s="9">
        <f>93.39-59</f>
        <v>34.39</v>
      </c>
      <c r="G24" s="5"/>
    </row>
    <row r="25" spans="1:8">
      <c r="A25" s="4" t="s">
        <v>22</v>
      </c>
      <c r="B25" s="4"/>
      <c r="C25" s="4"/>
      <c r="D25" s="5">
        <f>D16*0.03</f>
        <v>72</v>
      </c>
    </row>
    <row r="26" spans="1:8">
      <c r="A26" s="4" t="s">
        <v>23</v>
      </c>
      <c r="B26" s="4"/>
      <c r="C26" s="4"/>
      <c r="D26" s="10">
        <v>400</v>
      </c>
      <c r="E26" s="1" t="s">
        <v>24</v>
      </c>
      <c r="G26" s="13"/>
      <c r="H26" s="1"/>
    </row>
    <row r="27" spans="1:8">
      <c r="A27" s="1" t="s">
        <v>25</v>
      </c>
      <c r="B27" s="4"/>
      <c r="C27" s="4"/>
      <c r="D27" s="10">
        <v>52.5</v>
      </c>
      <c r="G27" s="13"/>
      <c r="H27" s="1"/>
    </row>
    <row r="28" spans="1:8">
      <c r="A28" s="4" t="s">
        <v>26</v>
      </c>
      <c r="B28" s="4"/>
      <c r="C28" s="4"/>
      <c r="D28" s="13">
        <v>32</v>
      </c>
      <c r="G28" s="13"/>
      <c r="H28" s="1"/>
    </row>
    <row r="29" spans="1:8">
      <c r="A29" s="4" t="s">
        <v>27</v>
      </c>
      <c r="B29" s="4"/>
      <c r="C29" s="4"/>
      <c r="D29" s="5">
        <v>17.5</v>
      </c>
      <c r="G29" s="13"/>
      <c r="H29" s="1"/>
    </row>
    <row r="30" spans="1:8">
      <c r="A30" s="4" t="s">
        <v>28</v>
      </c>
      <c r="B30" s="4"/>
      <c r="C30" s="4"/>
      <c r="D30" s="5">
        <v>19.25</v>
      </c>
      <c r="G30" s="13"/>
      <c r="H30" s="1"/>
    </row>
    <row r="31" spans="1:8">
      <c r="A31" s="4" t="s">
        <v>29</v>
      </c>
      <c r="B31" s="4"/>
      <c r="C31" s="4"/>
      <c r="D31" s="5">
        <v>16.95</v>
      </c>
    </row>
    <row r="32" spans="1:8">
      <c r="A32" s="4" t="s">
        <v>30</v>
      </c>
      <c r="B32" s="4"/>
      <c r="C32" s="4"/>
      <c r="D32" s="5">
        <v>102.17</v>
      </c>
    </row>
    <row r="33" spans="1:7">
      <c r="A33" s="4" t="s">
        <v>31</v>
      </c>
      <c r="B33" s="4"/>
      <c r="C33" s="4"/>
      <c r="D33" s="5">
        <v>26.97</v>
      </c>
    </row>
    <row r="34" spans="1:7">
      <c r="A34" s="4" t="s">
        <v>32</v>
      </c>
      <c r="B34" s="4"/>
      <c r="C34" s="4"/>
      <c r="D34" s="5">
        <v>59.94</v>
      </c>
    </row>
    <row r="35" spans="1:7">
      <c r="A35" s="4" t="s">
        <v>33</v>
      </c>
      <c r="B35" s="4"/>
      <c r="C35" s="4"/>
      <c r="D35" s="5">
        <v>43.7</v>
      </c>
    </row>
    <row r="36" spans="1:7">
      <c r="C36" s="11"/>
      <c r="D36" s="11" t="s">
        <v>20</v>
      </c>
      <c r="E36" s="12">
        <f>SUM(D24:D35)</f>
        <v>877.37000000000012</v>
      </c>
    </row>
    <row r="37" spans="1:7">
      <c r="C37" s="14"/>
      <c r="D37" s="11" t="s">
        <v>34</v>
      </c>
      <c r="E37" s="15">
        <f>E21-E36</f>
        <v>5757.88</v>
      </c>
    </row>
    <row r="41" spans="1:7">
      <c r="A41" s="3" t="s">
        <v>35</v>
      </c>
      <c r="C41" s="16" t="s">
        <v>36</v>
      </c>
      <c r="D41" s="1" t="s">
        <v>37</v>
      </c>
    </row>
    <row r="42" spans="1:7">
      <c r="A42" s="4" t="s">
        <v>10</v>
      </c>
      <c r="B42" s="4"/>
      <c r="C42" s="4"/>
      <c r="D42" s="5">
        <v>400</v>
      </c>
    </row>
    <row r="43" spans="1:7">
      <c r="A43" s="4" t="s">
        <v>11</v>
      </c>
      <c r="B43" s="4"/>
      <c r="C43" s="4"/>
      <c r="D43" s="5">
        <v>650</v>
      </c>
    </row>
    <row r="44" spans="1:7">
      <c r="A44" s="2" t="str">
        <f>A3</f>
        <v>Add sources of revenue:</v>
      </c>
      <c r="E44" s="5">
        <f>D42-D43</f>
        <v>-250</v>
      </c>
      <c r="F44" s="8" t="s">
        <v>12</v>
      </c>
      <c r="G44" s="1" t="s">
        <v>38</v>
      </c>
    </row>
    <row r="45" spans="1:7">
      <c r="A45" s="4" t="s">
        <v>39</v>
      </c>
      <c r="B45" s="4"/>
      <c r="C45" s="4"/>
      <c r="D45" s="5">
        <v>8685</v>
      </c>
    </row>
    <row r="46" spans="1:7">
      <c r="A46" s="4" t="s">
        <v>40</v>
      </c>
      <c r="B46" s="4"/>
      <c r="C46" s="4"/>
      <c r="D46" s="5">
        <v>1250.55</v>
      </c>
    </row>
    <row r="47" spans="1:7">
      <c r="A47" s="4" t="s">
        <v>41</v>
      </c>
      <c r="B47" s="4"/>
      <c r="C47" s="4"/>
      <c r="D47" s="5">
        <v>295</v>
      </c>
    </row>
    <row r="48" spans="1:7">
      <c r="C48" s="11"/>
      <c r="D48" s="11" t="s">
        <v>20</v>
      </c>
      <c r="E48" s="12">
        <f>SUM(D45:D47)</f>
        <v>10230.549999999999</v>
      </c>
    </row>
    <row r="49" spans="1:7">
      <c r="A49" s="2" t="str">
        <f>A6</f>
        <v>Less Expenditures:</v>
      </c>
    </row>
    <row r="50" spans="1:7">
      <c r="A50" s="4" t="s">
        <v>42</v>
      </c>
      <c r="B50" s="4"/>
      <c r="C50" s="4"/>
      <c r="D50" s="5" t="s">
        <v>43</v>
      </c>
      <c r="E50" s="1" t="s">
        <v>44</v>
      </c>
    </row>
    <row r="51" spans="1:7">
      <c r="A51" s="4" t="s">
        <v>45</v>
      </c>
      <c r="B51" s="4">
        <f>50+70</f>
        <v>120</v>
      </c>
      <c r="C51" s="4" t="s">
        <v>46</v>
      </c>
      <c r="D51" s="5">
        <v>274.5</v>
      </c>
      <c r="E51" s="17">
        <v>45368</v>
      </c>
      <c r="G51" s="1"/>
    </row>
    <row r="52" spans="1:7">
      <c r="A52" s="4" t="s">
        <v>47</v>
      </c>
      <c r="B52" s="4">
        <f>48+72+96+108+72+36+60+60+36+36+72+96+72</f>
        <v>864</v>
      </c>
      <c r="C52" s="4" t="s">
        <v>46</v>
      </c>
      <c r="D52" s="5">
        <v>1484.78</v>
      </c>
      <c r="E52" s="17">
        <v>45368</v>
      </c>
      <c r="G52" s="1"/>
    </row>
    <row r="53" spans="1:7">
      <c r="A53" s="4" t="s">
        <v>48</v>
      </c>
      <c r="B53" s="4">
        <f>40+50+40+60+60+60+54+54+40+70+80+50+80+30+30+30+30+170</f>
        <v>1028</v>
      </c>
      <c r="C53" s="4" t="s">
        <v>46</v>
      </c>
      <c r="D53" s="5">
        <v>2218.6999999999998</v>
      </c>
      <c r="E53" s="17">
        <v>45368</v>
      </c>
      <c r="G53" s="1"/>
    </row>
    <row r="54" spans="1:7">
      <c r="A54" s="4" t="s">
        <v>49</v>
      </c>
      <c r="B54" s="4">
        <f>20*5</f>
        <v>100</v>
      </c>
      <c r="C54" s="4" t="s">
        <v>46</v>
      </c>
      <c r="D54" s="5">
        <v>410</v>
      </c>
      <c r="E54" s="17">
        <v>45368</v>
      </c>
      <c r="G54" s="1"/>
    </row>
    <row r="55" spans="1:7">
      <c r="A55" s="4" t="s">
        <v>50</v>
      </c>
      <c r="B55" s="4">
        <v>100</v>
      </c>
      <c r="C55" s="4" t="s">
        <v>46</v>
      </c>
      <c r="D55" s="5">
        <v>200</v>
      </c>
      <c r="E55" s="17">
        <v>45368</v>
      </c>
      <c r="G55" s="1"/>
    </row>
    <row r="56" spans="1:7">
      <c r="A56" s="4" t="s">
        <v>51</v>
      </c>
      <c r="B56" s="4"/>
      <c r="C56" s="4"/>
      <c r="D56" s="5">
        <v>200</v>
      </c>
      <c r="E56" s="17">
        <v>45368</v>
      </c>
      <c r="G56" s="1"/>
    </row>
    <row r="57" spans="1:7">
      <c r="A57" s="4" t="s">
        <v>52</v>
      </c>
      <c r="B57" s="4">
        <f>40+50+30+36+40+100</f>
        <v>296</v>
      </c>
      <c r="C57" s="4" t="s">
        <v>46</v>
      </c>
      <c r="D57" s="5">
        <v>1141.8</v>
      </c>
      <c r="E57" s="17">
        <v>45368</v>
      </c>
      <c r="G57" s="1"/>
    </row>
    <row r="58" spans="1:7">
      <c r="A58" s="4" t="s">
        <v>53</v>
      </c>
      <c r="B58" s="4">
        <f>40+40+3+10+40+30+60+30+30+30</f>
        <v>313</v>
      </c>
      <c r="C58" s="4" t="s">
        <v>46</v>
      </c>
      <c r="D58" s="5">
        <v>1541.6</v>
      </c>
      <c r="E58" s="17">
        <v>45417</v>
      </c>
      <c r="G58" s="1"/>
    </row>
    <row r="59" spans="1:7">
      <c r="A59" s="4" t="s">
        <v>54</v>
      </c>
      <c r="B59" s="4">
        <v>40</v>
      </c>
      <c r="C59" s="4" t="s">
        <v>46</v>
      </c>
      <c r="D59" s="5">
        <v>120</v>
      </c>
      <c r="E59" s="17">
        <v>45417</v>
      </c>
      <c r="G59" s="1"/>
    </row>
    <row r="60" spans="1:7">
      <c r="A60" s="4" t="s">
        <v>55</v>
      </c>
      <c r="B60" s="4">
        <v>10</v>
      </c>
      <c r="C60" s="4" t="s">
        <v>46</v>
      </c>
      <c r="D60" s="5">
        <v>89.4</v>
      </c>
      <c r="E60" s="17">
        <v>45417</v>
      </c>
    </row>
    <row r="61" spans="1:7">
      <c r="A61" s="4" t="s">
        <v>56</v>
      </c>
      <c r="B61" s="4"/>
      <c r="C61" s="4"/>
      <c r="D61" s="5">
        <v>11.9</v>
      </c>
      <c r="E61" s="17">
        <v>45417</v>
      </c>
    </row>
    <row r="62" spans="1:7">
      <c r="A62" s="18" t="s">
        <v>57</v>
      </c>
      <c r="B62" s="4"/>
      <c r="C62" s="4"/>
      <c r="D62" s="5">
        <v>30</v>
      </c>
      <c r="E62" s="17">
        <v>45417</v>
      </c>
    </row>
    <row r="63" spans="1:7">
      <c r="C63" s="11"/>
      <c r="D63" s="11" t="s">
        <v>20</v>
      </c>
      <c r="E63" s="12">
        <f>SUM(D50:D62)</f>
        <v>7722.6799999999985</v>
      </c>
    </row>
    <row r="64" spans="1:7">
      <c r="C64" s="14"/>
      <c r="D64" s="11" t="s">
        <v>34</v>
      </c>
      <c r="E64" s="15">
        <f>E48-E63-E44</f>
        <v>2757.8700000000008</v>
      </c>
    </row>
    <row r="66" spans="1:8">
      <c r="A66" s="3" t="s">
        <v>58</v>
      </c>
      <c r="D66" s="1" t="s">
        <v>59</v>
      </c>
    </row>
    <row r="67" spans="1:8">
      <c r="A67" s="4" t="s">
        <v>10</v>
      </c>
      <c r="B67" s="4"/>
      <c r="C67" s="4"/>
      <c r="D67" s="5">
        <v>650</v>
      </c>
    </row>
    <row r="68" spans="1:8">
      <c r="A68" s="4" t="s">
        <v>11</v>
      </c>
      <c r="B68" s="4"/>
      <c r="C68" s="4"/>
      <c r="D68" s="5">
        <f>330+755</f>
        <v>1085</v>
      </c>
    </row>
    <row r="69" spans="1:8">
      <c r="A69" s="2" t="str">
        <f>A3</f>
        <v>Add sources of revenue:</v>
      </c>
      <c r="E69" s="5">
        <f>D67-D68</f>
        <v>-435</v>
      </c>
      <c r="F69" s="8" t="s">
        <v>12</v>
      </c>
      <c r="G69" s="1" t="s">
        <v>60</v>
      </c>
    </row>
    <row r="70" spans="1:8">
      <c r="A70" s="4" t="s">
        <v>13</v>
      </c>
      <c r="B70" s="4"/>
      <c r="C70" s="4"/>
      <c r="D70" s="9">
        <v>510.12</v>
      </c>
    </row>
    <row r="71" spans="1:8">
      <c r="A71" s="4" t="s">
        <v>14</v>
      </c>
      <c r="B71" s="4"/>
      <c r="C71" s="4"/>
      <c r="D71" s="9">
        <v>470</v>
      </c>
    </row>
    <row r="72" spans="1:8">
      <c r="A72" s="4" t="s">
        <v>39</v>
      </c>
      <c r="B72" s="4"/>
      <c r="C72" s="4"/>
      <c r="D72" s="5">
        <v>4851</v>
      </c>
    </row>
    <row r="73" spans="1:8">
      <c r="A73" s="4" t="s">
        <v>40</v>
      </c>
      <c r="B73" s="4"/>
      <c r="C73" s="4"/>
      <c r="D73" s="5">
        <v>366</v>
      </c>
    </row>
    <row r="74" spans="1:8">
      <c r="A74" s="4" t="s">
        <v>41</v>
      </c>
      <c r="B74" s="4"/>
      <c r="C74" s="4"/>
      <c r="D74" s="19" t="s">
        <v>43</v>
      </c>
    </row>
    <row r="75" spans="1:8">
      <c r="C75" s="11"/>
      <c r="D75" s="11" t="s">
        <v>20</v>
      </c>
      <c r="E75" s="12">
        <f>SUM(D70:D74)</f>
        <v>6197.12</v>
      </c>
    </row>
    <row r="76" spans="1:8">
      <c r="A76" s="2"/>
    </row>
    <row r="77" spans="1:8">
      <c r="A77" s="2" t="str">
        <f>A6</f>
        <v>Less Expenditures:</v>
      </c>
    </row>
    <row r="78" spans="1:8">
      <c r="A78" s="4" t="s">
        <v>61</v>
      </c>
      <c r="B78" s="4"/>
      <c r="C78" s="4"/>
      <c r="D78" s="5">
        <v>1215.5</v>
      </c>
      <c r="G78" s="1" t="s">
        <v>62</v>
      </c>
    </row>
    <row r="79" spans="1:8">
      <c r="A79" s="4" t="s">
        <v>63</v>
      </c>
      <c r="B79" s="4"/>
      <c r="C79" s="4"/>
      <c r="D79" s="5">
        <v>160.88</v>
      </c>
      <c r="H79" s="1" t="s">
        <v>64</v>
      </c>
    </row>
    <row r="80" spans="1:8">
      <c r="A80" s="4" t="s">
        <v>65</v>
      </c>
      <c r="B80" s="4"/>
      <c r="C80" s="4"/>
      <c r="D80" s="5">
        <v>560</v>
      </c>
      <c r="G80" s="1" t="s">
        <v>66</v>
      </c>
    </row>
    <row r="81" spans="1:11">
      <c r="A81" s="4" t="s">
        <v>67</v>
      </c>
      <c r="B81" s="4"/>
      <c r="C81" s="4"/>
      <c r="D81" s="5">
        <v>36</v>
      </c>
    </row>
    <row r="82" spans="1:11">
      <c r="A82" s="4"/>
      <c r="B82" s="4"/>
      <c r="C82" s="4"/>
      <c r="D82" s="5">
        <v>14.98</v>
      </c>
    </row>
    <row r="83" spans="1:11">
      <c r="A83" s="4" t="s">
        <v>42</v>
      </c>
      <c r="B83" s="4"/>
      <c r="C83" s="4"/>
      <c r="D83" s="5"/>
    </row>
    <row r="84" spans="1:11">
      <c r="C84" s="4"/>
      <c r="D84" s="5"/>
    </row>
    <row r="85" spans="1:11">
      <c r="C85" s="11"/>
      <c r="D85" s="11" t="s">
        <v>20</v>
      </c>
      <c r="E85" s="12">
        <f>SUM(D78:D84)</f>
        <v>1987.3600000000001</v>
      </c>
    </row>
    <row r="86" spans="1:11">
      <c r="C86" s="14"/>
      <c r="D86" s="11" t="s">
        <v>34</v>
      </c>
      <c r="E86" s="15">
        <f>E75-E85-E69</f>
        <v>4644.76</v>
      </c>
      <c r="F86" s="5">
        <f>E86+E218</f>
        <v>8148.11</v>
      </c>
    </row>
    <row r="87" spans="1:11">
      <c r="A87" s="3" t="s">
        <v>68</v>
      </c>
      <c r="H87" s="1"/>
    </row>
    <row r="88" spans="1:11">
      <c r="H88" s="1"/>
    </row>
    <row r="89" spans="1:11">
      <c r="A89" s="20">
        <v>3841</v>
      </c>
      <c r="H89" s="1"/>
    </row>
    <row r="90" spans="1:11">
      <c r="H90" s="1"/>
    </row>
    <row r="91" spans="1:11">
      <c r="A91" s="3" t="s">
        <v>69</v>
      </c>
      <c r="H91" s="1"/>
    </row>
    <row r="92" spans="1:11">
      <c r="A92" s="5">
        <v>424.48</v>
      </c>
      <c r="H92" s="1"/>
    </row>
    <row r="94" spans="1:11">
      <c r="H94" s="1" t="s">
        <v>70</v>
      </c>
    </row>
    <row r="95" spans="1:11">
      <c r="A95" s="3" t="s">
        <v>71</v>
      </c>
      <c r="C95" s="1" t="s">
        <v>36</v>
      </c>
      <c r="D95" s="1" t="s">
        <v>72</v>
      </c>
      <c r="K95" s="1" t="s">
        <v>73</v>
      </c>
    </row>
    <row r="96" spans="1:11">
      <c r="A96" s="4" t="s">
        <v>10</v>
      </c>
      <c r="B96" s="4"/>
      <c r="C96" s="4"/>
      <c r="D96" s="5">
        <f>330+755</f>
        <v>1085</v>
      </c>
      <c r="E96" s="5">
        <f>755-E104</f>
        <v>162.01</v>
      </c>
      <c r="G96" s="1">
        <f>12*10+11+6</f>
        <v>137</v>
      </c>
      <c r="H96" s="1" t="s">
        <v>74</v>
      </c>
      <c r="J96" s="5">
        <f>2.4*G96</f>
        <v>328.8</v>
      </c>
      <c r="K96" s="5">
        <v>4</v>
      </c>
    </row>
    <row r="97" spans="1:11">
      <c r="A97" s="4" t="s">
        <v>11</v>
      </c>
      <c r="B97" s="4"/>
      <c r="C97" s="4"/>
      <c r="D97" s="5">
        <v>250</v>
      </c>
      <c r="E97" s="1">
        <f>330-150</f>
        <v>180</v>
      </c>
      <c r="G97" s="1">
        <f>6+2+2+2+2</f>
        <v>14</v>
      </c>
      <c r="H97" s="1" t="s">
        <v>75</v>
      </c>
      <c r="J97" s="5">
        <f>2.2*G97</f>
        <v>30.800000000000004</v>
      </c>
      <c r="K97" s="5">
        <v>2</v>
      </c>
    </row>
    <row r="98" spans="1:11">
      <c r="A98" s="2" t="str">
        <f>$A$3</f>
        <v>Add sources of revenue:</v>
      </c>
      <c r="E98" s="5">
        <f>D96-D97</f>
        <v>835</v>
      </c>
      <c r="F98" s="8" t="s">
        <v>12</v>
      </c>
      <c r="G98" s="1" t="s">
        <v>60</v>
      </c>
      <c r="H98" s="1" t="s">
        <v>76</v>
      </c>
      <c r="J98" s="5">
        <v>10.99</v>
      </c>
      <c r="K98" s="5">
        <v>1</v>
      </c>
    </row>
    <row r="99" spans="1:11">
      <c r="A99" s="4" t="s">
        <v>39</v>
      </c>
      <c r="B99" s="4"/>
      <c r="C99" s="4"/>
      <c r="D99" s="5">
        <v>952</v>
      </c>
      <c r="H99" s="1" t="s">
        <v>77</v>
      </c>
      <c r="J99" s="5">
        <v>2.99</v>
      </c>
      <c r="K99" s="5"/>
    </row>
    <row r="100" spans="1:11">
      <c r="A100" s="4" t="s">
        <v>40</v>
      </c>
      <c r="B100" s="4"/>
      <c r="C100" s="4"/>
      <c r="D100" s="5">
        <v>341.9</v>
      </c>
      <c r="H100" s="1" t="s">
        <v>78</v>
      </c>
      <c r="J100" s="5">
        <v>2</v>
      </c>
      <c r="K100" s="5"/>
    </row>
    <row r="101" spans="1:11">
      <c r="C101" s="11"/>
      <c r="D101" s="11" t="s">
        <v>20</v>
      </c>
      <c r="E101" s="12">
        <f>SUM(D99:D100)</f>
        <v>1293.9000000000001</v>
      </c>
      <c r="H101" s="1" t="s">
        <v>79</v>
      </c>
      <c r="J101" s="5">
        <v>2.2000000000000002</v>
      </c>
      <c r="K101" s="5"/>
    </row>
    <row r="102" spans="1:11">
      <c r="A102" s="2" t="str">
        <f>$A$6</f>
        <v>Less Expenditures:</v>
      </c>
      <c r="H102" s="1" t="s">
        <v>80</v>
      </c>
      <c r="J102" s="5">
        <v>2</v>
      </c>
      <c r="K102" s="5"/>
    </row>
    <row r="103" spans="1:11">
      <c r="A103" s="4" t="s">
        <v>81</v>
      </c>
      <c r="B103" s="4"/>
      <c r="C103" s="4"/>
      <c r="D103" s="5">
        <v>592.99</v>
      </c>
      <c r="E103" s="1" t="s">
        <v>82</v>
      </c>
      <c r="G103" s="1">
        <v>2</v>
      </c>
      <c r="H103" s="1" t="s">
        <v>83</v>
      </c>
      <c r="J103" s="5">
        <f>17.99*G103</f>
        <v>35.979999999999997</v>
      </c>
      <c r="K103" s="5"/>
    </row>
    <row r="104" spans="1:11">
      <c r="C104" s="11"/>
      <c r="D104" s="11" t="s">
        <v>20</v>
      </c>
      <c r="E104" s="12">
        <f>SUM(D103)</f>
        <v>592.99</v>
      </c>
      <c r="H104" s="1" t="s">
        <v>84</v>
      </c>
      <c r="J104" s="5">
        <v>3.29</v>
      </c>
      <c r="K104" s="5">
        <v>4</v>
      </c>
    </row>
    <row r="105" spans="1:11">
      <c r="C105" s="14"/>
      <c r="D105" s="11" t="s">
        <v>34</v>
      </c>
      <c r="E105" s="15">
        <f>E101-E107-E104</f>
        <v>458.90000000000009</v>
      </c>
      <c r="F105" s="1" t="s">
        <v>85</v>
      </c>
      <c r="H105" s="1" t="s">
        <v>86</v>
      </c>
      <c r="J105" s="5">
        <v>1.99</v>
      </c>
      <c r="K105" s="5"/>
    </row>
    <row r="106" spans="1:11">
      <c r="A106" s="3"/>
      <c r="C106" s="1" t="s">
        <v>87</v>
      </c>
      <c r="H106" s="1" t="s">
        <v>88</v>
      </c>
      <c r="J106" s="1">
        <v>5</v>
      </c>
      <c r="K106" s="5"/>
    </row>
    <row r="107" spans="1:11">
      <c r="A107" s="3"/>
      <c r="C107" s="1"/>
      <c r="E107" s="5">
        <f>D96-E104-D97</f>
        <v>242.01</v>
      </c>
      <c r="F107" s="1" t="s">
        <v>89</v>
      </c>
      <c r="G107" s="1">
        <v>4</v>
      </c>
      <c r="H107" s="1" t="s">
        <v>90</v>
      </c>
      <c r="J107" s="1">
        <f>1.2*4</f>
        <v>4.8</v>
      </c>
      <c r="K107" s="5">
        <v>4</v>
      </c>
    </row>
    <row r="108" spans="1:11">
      <c r="A108" s="3" t="s">
        <v>91</v>
      </c>
      <c r="C108" s="1" t="s">
        <v>36</v>
      </c>
      <c r="D108" s="1" t="s">
        <v>37</v>
      </c>
      <c r="G108" s="1">
        <v>10</v>
      </c>
      <c r="H108" s="1" t="s">
        <v>92</v>
      </c>
      <c r="J108" s="5">
        <f>5.5*G108</f>
        <v>55</v>
      </c>
      <c r="K108" s="5">
        <v>1</v>
      </c>
    </row>
    <row r="109" spans="1:11">
      <c r="A109" s="4" t="s">
        <v>10</v>
      </c>
      <c r="B109" s="4"/>
      <c r="C109" s="4"/>
      <c r="D109" s="5">
        <v>500</v>
      </c>
      <c r="G109" s="1">
        <v>5</v>
      </c>
      <c r="H109" s="1" t="s">
        <v>93</v>
      </c>
      <c r="J109" s="5">
        <f>3*G109</f>
        <v>15</v>
      </c>
      <c r="K109" s="5"/>
    </row>
    <row r="110" spans="1:11">
      <c r="A110" s="4" t="s">
        <v>11</v>
      </c>
      <c r="B110" s="4"/>
      <c r="C110" s="4"/>
      <c r="D110" s="5">
        <v>330</v>
      </c>
      <c r="H110" s="1" t="s">
        <v>94</v>
      </c>
      <c r="J110" s="5">
        <v>3</v>
      </c>
      <c r="K110" s="5"/>
    </row>
    <row r="111" spans="1:11">
      <c r="A111" s="2" t="str">
        <f>A44</f>
        <v>Add sources of revenue:</v>
      </c>
      <c r="E111" s="5">
        <f>D109-D110</f>
        <v>170</v>
      </c>
      <c r="F111" s="8" t="s">
        <v>12</v>
      </c>
      <c r="G111" s="1" t="s">
        <v>60</v>
      </c>
      <c r="H111" s="1"/>
      <c r="J111" s="5"/>
      <c r="K111" s="5"/>
    </row>
    <row r="112" spans="1:11">
      <c r="A112" s="2"/>
      <c r="G112" s="1">
        <f>2+7+6</f>
        <v>15</v>
      </c>
      <c r="H112" s="1" t="s">
        <v>95</v>
      </c>
      <c r="J112" s="5">
        <f>2.75*G112</f>
        <v>41.25</v>
      </c>
      <c r="K112" s="5">
        <v>1</v>
      </c>
    </row>
    <row r="113" spans="1:11">
      <c r="A113" s="4" t="s">
        <v>39</v>
      </c>
      <c r="B113" s="4"/>
      <c r="C113" s="4"/>
      <c r="D113" s="5">
        <v>8725.5</v>
      </c>
      <c r="G113" s="1">
        <v>3</v>
      </c>
      <c r="H113" s="1" t="s">
        <v>96</v>
      </c>
      <c r="J113" s="5">
        <f>7*G113</f>
        <v>21</v>
      </c>
      <c r="K113" s="5">
        <v>2</v>
      </c>
    </row>
    <row r="114" spans="1:11">
      <c r="A114" s="4" t="s">
        <v>40</v>
      </c>
      <c r="B114" s="4"/>
      <c r="C114" s="4"/>
      <c r="D114" s="5">
        <v>655.8</v>
      </c>
      <c r="H114" s="1" t="s">
        <v>97</v>
      </c>
      <c r="J114" s="5">
        <v>5.6</v>
      </c>
      <c r="K114" s="5"/>
    </row>
    <row r="115" spans="1:11">
      <c r="A115" s="4" t="s">
        <v>41</v>
      </c>
      <c r="B115" s="4"/>
      <c r="C115" s="4"/>
      <c r="D115" s="5"/>
      <c r="J115" s="5">
        <f>SUM(J96:J114)</f>
        <v>571.69000000000017</v>
      </c>
    </row>
    <row r="116" spans="1:11">
      <c r="C116" s="11"/>
      <c r="D116" s="11" t="s">
        <v>20</v>
      </c>
      <c r="E116" s="12">
        <f>SUM(D113:D115)</f>
        <v>9381.2999999999993</v>
      </c>
      <c r="J116" s="5"/>
    </row>
    <row r="117" spans="1:11">
      <c r="A117" s="2" t="str">
        <f>$A$6</f>
        <v>Less Expenditures:</v>
      </c>
      <c r="J117" s="5"/>
    </row>
    <row r="118" spans="1:11">
      <c r="A118" s="4" t="s">
        <v>98</v>
      </c>
      <c r="B118" s="4"/>
      <c r="C118" s="4"/>
      <c r="D118" s="5">
        <v>1903.5</v>
      </c>
      <c r="G118" s="1" t="s">
        <v>99</v>
      </c>
      <c r="J118" s="5"/>
    </row>
    <row r="119" spans="1:11">
      <c r="A119" s="4" t="s">
        <v>100</v>
      </c>
      <c r="B119" s="4"/>
      <c r="C119" s="4"/>
      <c r="D119" s="5">
        <v>219</v>
      </c>
      <c r="G119" s="1"/>
    </row>
    <row r="120" spans="1:11">
      <c r="A120" s="4" t="s">
        <v>101</v>
      </c>
      <c r="B120" s="4"/>
      <c r="C120" s="4"/>
      <c r="D120" s="5">
        <v>1480</v>
      </c>
      <c r="G120" s="1"/>
    </row>
    <row r="121" spans="1:11">
      <c r="A121" s="4" t="s">
        <v>102</v>
      </c>
      <c r="B121" s="4"/>
      <c r="C121" s="4"/>
      <c r="D121" s="5">
        <v>1093.4000000000001</v>
      </c>
      <c r="G121" s="1" t="s">
        <v>103</v>
      </c>
    </row>
    <row r="122" spans="1:11">
      <c r="A122" s="4" t="s">
        <v>104</v>
      </c>
      <c r="B122" s="4"/>
      <c r="C122" s="4"/>
      <c r="D122" s="5">
        <v>210</v>
      </c>
    </row>
    <row r="123" spans="1:11">
      <c r="A123" s="4" t="s">
        <v>105</v>
      </c>
      <c r="B123" s="4"/>
      <c r="C123" s="4"/>
      <c r="D123" s="5">
        <v>2063.65</v>
      </c>
    </row>
    <row r="124" spans="1:11">
      <c r="A124" s="4" t="s">
        <v>42</v>
      </c>
      <c r="B124" s="4"/>
      <c r="C124" s="4"/>
      <c r="D124" s="5" t="s">
        <v>43</v>
      </c>
    </row>
    <row r="125" spans="1:11">
      <c r="C125" s="11"/>
      <c r="D125" s="11" t="s">
        <v>20</v>
      </c>
      <c r="E125" s="12">
        <f>SUM(D118:D124)</f>
        <v>6969.5499999999993</v>
      </c>
    </row>
    <row r="126" spans="1:11">
      <c r="C126" s="14"/>
      <c r="D126" s="11" t="s">
        <v>34</v>
      </c>
      <c r="E126" s="15">
        <f>D110+E116-E125-D109</f>
        <v>2241.75</v>
      </c>
    </row>
    <row r="128" spans="1:11">
      <c r="A128" s="3" t="s">
        <v>106</v>
      </c>
      <c r="D128" s="1" t="s">
        <v>107</v>
      </c>
    </row>
    <row r="129" spans="1:7">
      <c r="A129" s="4" t="s">
        <v>10</v>
      </c>
      <c r="B129" s="4"/>
      <c r="C129" s="4"/>
      <c r="D129" s="5">
        <v>330</v>
      </c>
    </row>
    <row r="130" spans="1:7">
      <c r="A130" s="4" t="s">
        <v>11</v>
      </c>
      <c r="B130" s="4"/>
      <c r="C130" s="4"/>
      <c r="D130" s="5">
        <v>500</v>
      </c>
    </row>
    <row r="131" spans="1:7">
      <c r="A131" s="2" t="str">
        <f>$A$3</f>
        <v>Add sources of revenue:</v>
      </c>
      <c r="E131" s="5">
        <f>D129-D130</f>
        <v>-170</v>
      </c>
      <c r="F131" s="8" t="s">
        <v>12</v>
      </c>
    </row>
    <row r="132" spans="1:7">
      <c r="A132" s="4" t="s">
        <v>13</v>
      </c>
      <c r="B132" s="4"/>
      <c r="C132" s="4"/>
      <c r="D132" s="5">
        <v>777.5</v>
      </c>
    </row>
    <row r="133" spans="1:7">
      <c r="A133" s="4" t="s">
        <v>14</v>
      </c>
      <c r="B133" s="4"/>
      <c r="C133" s="4"/>
      <c r="D133" s="5">
        <v>1874</v>
      </c>
    </row>
    <row r="134" spans="1:7">
      <c r="A134" s="4" t="s">
        <v>108</v>
      </c>
      <c r="B134" s="4"/>
      <c r="C134" s="4"/>
      <c r="D134" s="5"/>
    </row>
    <row r="135" spans="1:7">
      <c r="A135" s="4" t="s">
        <v>109</v>
      </c>
      <c r="B135" s="4"/>
      <c r="C135" s="4"/>
      <c r="D135" s="5">
        <v>52</v>
      </c>
    </row>
    <row r="136" spans="1:7">
      <c r="A136" s="4" t="s">
        <v>39</v>
      </c>
      <c r="B136" s="4"/>
      <c r="C136" s="4"/>
      <c r="D136" s="5">
        <v>1635</v>
      </c>
    </row>
    <row r="137" spans="1:7">
      <c r="A137" s="4" t="s">
        <v>40</v>
      </c>
      <c r="B137" s="4"/>
      <c r="C137" s="4"/>
      <c r="D137" s="5">
        <v>98.5</v>
      </c>
    </row>
    <row r="138" spans="1:7">
      <c r="C138" s="11"/>
      <c r="D138" s="11" t="s">
        <v>20</v>
      </c>
      <c r="E138" s="12">
        <f>SUM(D132:D137)</f>
        <v>4437</v>
      </c>
    </row>
    <row r="139" spans="1:7">
      <c r="A139" s="2"/>
    </row>
    <row r="140" spans="1:7">
      <c r="A140" s="2">
        <f>A185</f>
        <v>0</v>
      </c>
    </row>
    <row r="141" spans="1:7">
      <c r="A141" s="4" t="s">
        <v>21</v>
      </c>
      <c r="B141" s="4"/>
      <c r="C141" s="4"/>
      <c r="D141" s="5">
        <v>31.86</v>
      </c>
      <c r="G141" s="1" t="s">
        <v>110</v>
      </c>
    </row>
    <row r="142" spans="1:7">
      <c r="A142" s="4" t="s">
        <v>111</v>
      </c>
      <c r="B142" s="4"/>
      <c r="C142" s="4"/>
      <c r="D142" s="5">
        <v>290</v>
      </c>
      <c r="G142" s="1" t="s">
        <v>112</v>
      </c>
    </row>
    <row r="143" spans="1:7">
      <c r="A143" s="4" t="s">
        <v>113</v>
      </c>
      <c r="B143" s="4"/>
      <c r="C143" s="4"/>
      <c r="D143" s="5">
        <v>27.98</v>
      </c>
      <c r="G143" s="1" t="s">
        <v>114</v>
      </c>
    </row>
    <row r="144" spans="1:7">
      <c r="A144" s="4"/>
      <c r="B144" s="4"/>
      <c r="C144" s="4"/>
      <c r="D144" s="5"/>
      <c r="G144" s="1" t="s">
        <v>115</v>
      </c>
    </row>
    <row r="145" spans="1:33">
      <c r="A145" s="4"/>
      <c r="B145" s="4"/>
      <c r="C145" s="4"/>
      <c r="D145" s="5"/>
      <c r="G145" s="1" t="s">
        <v>116</v>
      </c>
    </row>
    <row r="146" spans="1:33">
      <c r="A146" s="4" t="s">
        <v>42</v>
      </c>
      <c r="B146" s="4"/>
      <c r="C146" s="4"/>
      <c r="D146" s="5">
        <v>2.5</v>
      </c>
    </row>
    <row r="147" spans="1:33">
      <c r="C147" s="11"/>
      <c r="D147" s="11" t="s">
        <v>20</v>
      </c>
      <c r="E147" s="12">
        <f>SUM(D141:D146)</f>
        <v>352.34000000000003</v>
      </c>
    </row>
    <row r="148" spans="1:33">
      <c r="C148" s="14"/>
      <c r="D148" s="11" t="s">
        <v>34</v>
      </c>
      <c r="E148" s="15">
        <f>E138-E147</f>
        <v>4084.66</v>
      </c>
    </row>
    <row r="150" spans="1:33">
      <c r="A150" s="21" t="s">
        <v>117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1:33">
      <c r="A151" s="23">
        <f>400+340+10+60</f>
        <v>810</v>
      </c>
      <c r="B151" s="22" t="s">
        <v>118</v>
      </c>
      <c r="C151" s="23">
        <v>801.09</v>
      </c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3" spans="1:33">
      <c r="A153" s="21" t="s">
        <v>119</v>
      </c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1:33">
      <c r="A154" s="23">
        <f>230+35+10</f>
        <v>275</v>
      </c>
      <c r="B154" s="22" t="s">
        <v>118</v>
      </c>
      <c r="C154" s="23">
        <v>271.98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6" spans="1:33">
      <c r="A156" s="3" t="s">
        <v>120</v>
      </c>
      <c r="D156" s="1" t="s">
        <v>59</v>
      </c>
    </row>
    <row r="157" spans="1:33">
      <c r="A157" s="2" t="str">
        <f>A6</f>
        <v>Less Expenditures:</v>
      </c>
    </row>
    <row r="158" spans="1:33">
      <c r="A158" s="4"/>
      <c r="B158" s="4"/>
      <c r="C158" s="4"/>
      <c r="D158" s="5"/>
      <c r="G158" s="1" t="s">
        <v>121</v>
      </c>
    </row>
    <row r="159" spans="1:33">
      <c r="A159" s="4" t="s">
        <v>122</v>
      </c>
      <c r="B159" s="4"/>
      <c r="C159" s="4"/>
      <c r="D159" s="5">
        <v>24.84</v>
      </c>
      <c r="G159" s="1"/>
    </row>
    <row r="160" spans="1:33">
      <c r="A160" s="4" t="s">
        <v>123</v>
      </c>
      <c r="B160" s="4"/>
      <c r="C160" s="4"/>
      <c r="D160" s="5">
        <v>200</v>
      </c>
      <c r="G160" s="1" t="s">
        <v>124</v>
      </c>
    </row>
    <row r="161" spans="1:7">
      <c r="C161" s="11"/>
      <c r="D161" s="11" t="s">
        <v>20</v>
      </c>
      <c r="E161" s="12">
        <f>SUM(D155:D160)</f>
        <v>224.84</v>
      </c>
    </row>
    <row r="162" spans="1:7">
      <c r="C162" s="14"/>
      <c r="D162" s="11" t="s">
        <v>34</v>
      </c>
      <c r="E162" s="15">
        <f>E124-E161</f>
        <v>-224.84</v>
      </c>
    </row>
    <row r="165" spans="1:7">
      <c r="A165" s="3" t="s">
        <v>125</v>
      </c>
      <c r="C165" s="1" t="s">
        <v>126</v>
      </c>
      <c r="D165" s="1" t="s">
        <v>9</v>
      </c>
    </row>
    <row r="166" spans="1:7">
      <c r="A166" s="2" t="str">
        <f>A3</f>
        <v>Add sources of revenue:</v>
      </c>
    </row>
    <row r="167" spans="1:7">
      <c r="A167" s="1" t="s">
        <v>127</v>
      </c>
      <c r="D167" s="5">
        <v>20</v>
      </c>
    </row>
    <row r="168" spans="1:7">
      <c r="A168" s="4" t="s">
        <v>128</v>
      </c>
      <c r="B168" s="4"/>
      <c r="C168" s="4"/>
      <c r="D168" s="5">
        <f>9072</f>
        <v>9072</v>
      </c>
      <c r="F168" s="5">
        <f>D168-D175-D176</f>
        <v>7744.0900000000011</v>
      </c>
    </row>
    <row r="169" spans="1:7">
      <c r="A169" s="4" t="s">
        <v>128</v>
      </c>
      <c r="B169" s="4"/>
      <c r="C169" s="4"/>
      <c r="D169" s="5">
        <v>24424</v>
      </c>
      <c r="F169" s="1">
        <v>23472.2</v>
      </c>
    </row>
    <row r="170" spans="1:7">
      <c r="A170" s="4" t="s">
        <v>17</v>
      </c>
      <c r="B170" s="4"/>
      <c r="C170" s="4"/>
      <c r="D170" s="5">
        <f>2000+1000+500+200</f>
        <v>3700</v>
      </c>
    </row>
    <row r="171" spans="1:7">
      <c r="C171" s="11"/>
      <c r="D171" s="11" t="s">
        <v>20</v>
      </c>
      <c r="E171" s="12">
        <f>SUM(D167:D170)</f>
        <v>37216</v>
      </c>
    </row>
    <row r="172" spans="1:7">
      <c r="A172" s="2" t="str">
        <f>A6</f>
        <v>Less Expenditures:</v>
      </c>
    </row>
    <row r="173" spans="1:7">
      <c r="A173" s="4" t="s">
        <v>129</v>
      </c>
      <c r="B173" s="4"/>
      <c r="C173" s="4"/>
      <c r="D173" s="5">
        <v>1012.5</v>
      </c>
      <c r="G173" s="1" t="s">
        <v>130</v>
      </c>
    </row>
    <row r="174" spans="1:7">
      <c r="A174" s="4" t="s">
        <v>131</v>
      </c>
      <c r="B174" s="4"/>
      <c r="C174" s="4"/>
      <c r="D174" s="5">
        <v>2240</v>
      </c>
      <c r="E174" s="1" t="s">
        <v>132</v>
      </c>
      <c r="G174" s="1" t="s">
        <v>130</v>
      </c>
    </row>
    <row r="175" spans="1:7">
      <c r="A175" s="4" t="s">
        <v>133</v>
      </c>
      <c r="B175" s="4"/>
      <c r="C175" s="4"/>
      <c r="D175" s="5">
        <f>208.56+490.99</f>
        <v>699.55</v>
      </c>
      <c r="G175" s="1"/>
    </row>
    <row r="176" spans="1:7">
      <c r="A176" s="4" t="s">
        <v>134</v>
      </c>
      <c r="B176" s="4"/>
      <c r="C176" s="4"/>
      <c r="D176" s="5">
        <f>167.55+460.81</f>
        <v>628.36</v>
      </c>
      <c r="G176" s="1"/>
    </row>
    <row r="177" spans="1:7">
      <c r="A177" s="4" t="s">
        <v>135</v>
      </c>
      <c r="B177" s="4"/>
      <c r="C177" s="4"/>
      <c r="D177" s="5">
        <v>24</v>
      </c>
      <c r="G177" s="1" t="s">
        <v>136</v>
      </c>
    </row>
    <row r="178" spans="1:7">
      <c r="A178" s="4" t="s">
        <v>137</v>
      </c>
      <c r="B178" s="4"/>
      <c r="C178" s="4"/>
      <c r="D178" s="5">
        <f>44.25+90.23</f>
        <v>134.48000000000002</v>
      </c>
      <c r="G178" s="1" t="s">
        <v>138</v>
      </c>
    </row>
    <row r="179" spans="1:7">
      <c r="A179" s="4" t="s">
        <v>139</v>
      </c>
      <c r="B179" s="4"/>
      <c r="C179" s="4"/>
      <c r="D179" s="5">
        <v>12</v>
      </c>
      <c r="G179" s="1" t="s">
        <v>140</v>
      </c>
    </row>
    <row r="180" spans="1:7">
      <c r="C180" s="11"/>
      <c r="D180" s="11" t="s">
        <v>20</v>
      </c>
      <c r="E180" s="12">
        <f>SUM(D173:D179)</f>
        <v>4750.8899999999994</v>
      </c>
    </row>
    <row r="181" spans="1:7">
      <c r="C181" s="14"/>
      <c r="D181" s="11" t="s">
        <v>34</v>
      </c>
      <c r="E181" s="15">
        <f>E171-E180</f>
        <v>32465.11</v>
      </c>
    </row>
    <row r="183" spans="1:7">
      <c r="A183" s="1" t="s">
        <v>141</v>
      </c>
    </row>
    <row r="186" spans="1:7">
      <c r="A186" s="3" t="s">
        <v>142</v>
      </c>
      <c r="C186" s="1" t="s">
        <v>143</v>
      </c>
    </row>
    <row r="189" spans="1:7">
      <c r="A189" s="3" t="s">
        <v>144</v>
      </c>
      <c r="D189" s="1" t="s">
        <v>59</v>
      </c>
      <c r="G189" s="1" t="s">
        <v>145</v>
      </c>
    </row>
    <row r="190" spans="1:7">
      <c r="A190" s="2" t="str">
        <f>A6</f>
        <v>Less Expenditures:</v>
      </c>
    </row>
    <row r="191" spans="1:7">
      <c r="A191" s="4" t="s">
        <v>146</v>
      </c>
      <c r="B191" s="4"/>
      <c r="C191" s="4"/>
      <c r="D191" s="5">
        <v>700</v>
      </c>
      <c r="G191" s="1" t="s">
        <v>121</v>
      </c>
    </row>
    <row r="192" spans="1:7">
      <c r="A192" s="4" t="s">
        <v>147</v>
      </c>
      <c r="B192" s="4"/>
      <c r="C192" s="4"/>
      <c r="D192" s="5">
        <v>161.75</v>
      </c>
      <c r="G192" s="1" t="s">
        <v>124</v>
      </c>
    </row>
    <row r="193" spans="1:33">
      <c r="C193" s="11"/>
      <c r="D193" s="11" t="s">
        <v>20</v>
      </c>
      <c r="E193" s="12">
        <f>SUM(D191:D192)</f>
        <v>861.75</v>
      </c>
    </row>
    <row r="194" spans="1:33">
      <c r="C194" s="14"/>
      <c r="D194" s="11" t="s">
        <v>34</v>
      </c>
      <c r="E194" s="15">
        <f>E146-E193</f>
        <v>-861.75</v>
      </c>
    </row>
    <row r="198" spans="1:33">
      <c r="A198" s="3" t="s">
        <v>148</v>
      </c>
      <c r="D198" s="1" t="s">
        <v>59</v>
      </c>
    </row>
    <row r="199" spans="1:33">
      <c r="A199" s="24" t="s">
        <v>10</v>
      </c>
      <c r="B199" s="24"/>
      <c r="C199" s="24"/>
      <c r="D199" s="23">
        <v>500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</row>
    <row r="200" spans="1:33">
      <c r="A200" s="24" t="s">
        <v>149</v>
      </c>
      <c r="B200" s="24"/>
      <c r="C200" s="24"/>
      <c r="D200" s="23">
        <v>500</v>
      </c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 spans="1:33">
      <c r="A201" s="25" t="str">
        <f>$A$3</f>
        <v>Add sources of revenue:</v>
      </c>
      <c r="B201" s="22"/>
      <c r="C201" s="22"/>
      <c r="D201" s="23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 spans="1:33">
      <c r="A202" s="24" t="s">
        <v>13</v>
      </c>
      <c r="B202" s="24"/>
      <c r="C202" s="24"/>
      <c r="D202" s="26">
        <v>725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</row>
    <row r="203" spans="1:33">
      <c r="A203" s="24" t="s">
        <v>14</v>
      </c>
      <c r="B203" s="24"/>
      <c r="C203" s="24"/>
      <c r="D203" s="26">
        <v>600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</row>
    <row r="204" spans="1:33">
      <c r="A204" s="24" t="s">
        <v>108</v>
      </c>
      <c r="B204" s="24"/>
      <c r="C204" s="24"/>
      <c r="D204" s="26" t="s">
        <v>43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</row>
    <row r="205" spans="1:33">
      <c r="A205" s="24" t="s">
        <v>109</v>
      </c>
      <c r="B205" s="24"/>
      <c r="C205" s="24"/>
      <c r="D205" s="26" t="s">
        <v>43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</row>
    <row r="206" spans="1:33">
      <c r="A206" s="24" t="s">
        <v>39</v>
      </c>
      <c r="B206" s="24"/>
      <c r="C206" s="24"/>
      <c r="D206" s="26">
        <v>3585</v>
      </c>
      <c r="E206" s="23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 spans="1:33">
      <c r="A207" s="24" t="s">
        <v>40</v>
      </c>
      <c r="B207" s="24"/>
      <c r="C207" s="24"/>
      <c r="D207" s="26">
        <v>419.45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  <row r="208" spans="1:33">
      <c r="A208" s="24" t="s">
        <v>41</v>
      </c>
      <c r="B208" s="24"/>
      <c r="C208" s="24"/>
      <c r="D208" s="26" t="s">
        <v>43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</row>
    <row r="209" spans="1:33">
      <c r="A209" s="22"/>
      <c r="B209" s="22"/>
      <c r="C209" s="22"/>
      <c r="D209" s="27" t="s">
        <v>20</v>
      </c>
      <c r="E209" s="28">
        <f>SUM(D202:D208)</f>
        <v>5329.45</v>
      </c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</row>
    <row r="210" spans="1:33">
      <c r="A210" s="2" t="str">
        <f>A6</f>
        <v>Less Expenditures:</v>
      </c>
    </row>
    <row r="211" spans="1:33">
      <c r="A211" s="24" t="s">
        <v>21</v>
      </c>
      <c r="B211" s="24"/>
      <c r="C211" s="29">
        <v>59</v>
      </c>
      <c r="D211" s="26">
        <f>E211-C211</f>
        <v>14.700000000000003</v>
      </c>
      <c r="E211" s="22">
        <v>73.7</v>
      </c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</row>
    <row r="212" spans="1:33">
      <c r="A212" s="24" t="s">
        <v>150</v>
      </c>
      <c r="B212" s="24"/>
      <c r="C212" s="24"/>
      <c r="D212" s="26">
        <v>1188</v>
      </c>
      <c r="E212" s="22"/>
      <c r="F212" s="22"/>
      <c r="G212" s="22" t="s">
        <v>151</v>
      </c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</row>
    <row r="213" spans="1:33">
      <c r="A213" s="24" t="s">
        <v>152</v>
      </c>
      <c r="B213" s="24"/>
      <c r="C213" s="24"/>
      <c r="D213" s="26">
        <v>559</v>
      </c>
      <c r="E213" s="22"/>
      <c r="F213" s="22"/>
      <c r="G213" s="22" t="s">
        <v>153</v>
      </c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</row>
    <row r="214" spans="1:33">
      <c r="A214" s="24"/>
      <c r="B214" s="24"/>
      <c r="C214" s="24"/>
      <c r="D214" s="26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</row>
    <row r="215" spans="1:33">
      <c r="A215" s="24" t="s">
        <v>154</v>
      </c>
      <c r="B215" s="24"/>
      <c r="C215" s="24"/>
      <c r="D215" s="26">
        <v>64.400000000000006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</row>
    <row r="216" spans="1:33">
      <c r="A216" s="24" t="s">
        <v>42</v>
      </c>
      <c r="B216" s="24"/>
      <c r="C216" s="24"/>
      <c r="D216" s="26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</row>
    <row r="217" spans="1:33">
      <c r="A217" s="22"/>
      <c r="B217" s="22"/>
      <c r="C217" s="22"/>
      <c r="D217" s="27" t="s">
        <v>20</v>
      </c>
      <c r="E217" s="28">
        <f>SUM(D211:D216)</f>
        <v>1826.1000000000001</v>
      </c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</row>
    <row r="218" spans="1:33">
      <c r="A218" s="22"/>
      <c r="B218" s="22"/>
      <c r="C218" s="30"/>
      <c r="D218" s="25" t="s">
        <v>34</v>
      </c>
      <c r="E218" s="31">
        <f>E209-E217</f>
        <v>3503.3499999999995</v>
      </c>
      <c r="F218" s="22" t="s">
        <v>155</v>
      </c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</row>
    <row r="219" spans="1:33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</row>
    <row r="220" spans="1:33">
      <c r="A220" s="3" t="s">
        <v>156</v>
      </c>
      <c r="D220" s="1" t="s">
        <v>157</v>
      </c>
    </row>
    <row r="221" spans="1:33">
      <c r="A221" s="4" t="s">
        <v>10</v>
      </c>
      <c r="B221" s="4"/>
      <c r="C221" s="4"/>
      <c r="D221" s="5">
        <v>500</v>
      </c>
    </row>
    <row r="222" spans="1:33">
      <c r="A222" s="4" t="s">
        <v>149</v>
      </c>
      <c r="B222" s="4"/>
      <c r="C222" s="4"/>
      <c r="D222" s="5">
        <v>500</v>
      </c>
    </row>
    <row r="223" spans="1:33">
      <c r="A223" s="2" t="str">
        <f>$A$3</f>
        <v>Add sources of revenue:</v>
      </c>
    </row>
    <row r="224" spans="1:33">
      <c r="A224" s="4" t="s">
        <v>13</v>
      </c>
      <c r="B224" s="4"/>
      <c r="C224" s="4"/>
      <c r="D224" s="5">
        <v>955</v>
      </c>
    </row>
    <row r="225" spans="1:33">
      <c r="A225" s="4" t="s">
        <v>14</v>
      </c>
      <c r="B225" s="4"/>
      <c r="C225" s="4"/>
      <c r="D225" s="5">
        <v>770.01</v>
      </c>
    </row>
    <row r="226" spans="1:33">
      <c r="A226" s="4" t="s">
        <v>108</v>
      </c>
      <c r="B226" s="4"/>
      <c r="C226" s="4"/>
      <c r="D226" s="19" t="s">
        <v>43</v>
      </c>
    </row>
    <row r="227" spans="1:33">
      <c r="A227" s="4" t="s">
        <v>109</v>
      </c>
      <c r="B227" s="4"/>
      <c r="C227" s="4"/>
      <c r="D227" s="19">
        <v>10</v>
      </c>
    </row>
    <row r="228" spans="1:33">
      <c r="A228" s="4" t="s">
        <v>158</v>
      </c>
      <c r="B228" s="4"/>
      <c r="C228" s="4"/>
      <c r="D228" s="5">
        <v>1510</v>
      </c>
    </row>
    <row r="229" spans="1:33">
      <c r="A229" s="4" t="s">
        <v>18</v>
      </c>
      <c r="B229" s="4"/>
      <c r="C229" s="4"/>
      <c r="D229" s="5">
        <v>4665.6499999999996</v>
      </c>
    </row>
    <row r="230" spans="1:33">
      <c r="A230" s="4" t="s">
        <v>159</v>
      </c>
      <c r="B230" s="32">
        <v>200</v>
      </c>
      <c r="C230" s="4" t="s">
        <v>160</v>
      </c>
      <c r="D230" s="5">
        <f>200*E230</f>
        <v>600</v>
      </c>
      <c r="E230" s="1">
        <v>3</v>
      </c>
      <c r="G230" s="1" t="s">
        <v>161</v>
      </c>
    </row>
    <row r="231" spans="1:33">
      <c r="A231" s="4" t="s">
        <v>162</v>
      </c>
      <c r="B231" s="4"/>
      <c r="C231" s="4"/>
      <c r="D231" s="19">
        <f>2000+2000</f>
        <v>4000</v>
      </c>
    </row>
    <row r="232" spans="1:33">
      <c r="C232" s="11"/>
      <c r="D232" s="11" t="s">
        <v>20</v>
      </c>
      <c r="E232" s="12">
        <f>SUM(D224:D231)</f>
        <v>12510.66</v>
      </c>
    </row>
    <row r="233" spans="1:33">
      <c r="A233" s="2" t="str">
        <f>A6</f>
        <v>Less Expenditures:</v>
      </c>
    </row>
    <row r="234" spans="1:33">
      <c r="A234" s="24" t="s">
        <v>21</v>
      </c>
      <c r="B234" s="24"/>
      <c r="C234" s="29">
        <v>59</v>
      </c>
      <c r="D234" s="26">
        <f>E234-C234</f>
        <v>19.11</v>
      </c>
      <c r="E234" s="22">
        <v>78.11</v>
      </c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</row>
    <row r="235" spans="1:33">
      <c r="A235" s="4" t="s">
        <v>163</v>
      </c>
      <c r="B235" s="4"/>
      <c r="C235" s="4"/>
      <c r="D235" s="5">
        <f>D228-1480.88-4.92</f>
        <v>24.199999999999889</v>
      </c>
      <c r="E235" s="33"/>
    </row>
    <row r="236" spans="1:33">
      <c r="A236" s="4" t="s">
        <v>164</v>
      </c>
      <c r="B236" s="4"/>
      <c r="C236" s="4"/>
      <c r="D236" s="5">
        <v>242</v>
      </c>
    </row>
    <row r="237" spans="1:33">
      <c r="A237" s="4" t="s">
        <v>165</v>
      </c>
      <c r="B237" s="4"/>
      <c r="C237" s="4"/>
      <c r="D237" s="5">
        <v>583</v>
      </c>
    </row>
    <row r="238" spans="1:33">
      <c r="A238" s="4" t="s">
        <v>166</v>
      </c>
      <c r="B238" s="4"/>
      <c r="C238" s="4"/>
      <c r="D238" s="5">
        <v>830</v>
      </c>
    </row>
    <row r="239" spans="1:33">
      <c r="A239" s="4" t="s">
        <v>167</v>
      </c>
      <c r="B239" s="4"/>
      <c r="C239" s="4"/>
      <c r="D239" s="5">
        <v>3239.5</v>
      </c>
    </row>
    <row r="240" spans="1:33">
      <c r="A240" s="4" t="s">
        <v>168</v>
      </c>
      <c r="B240" s="4"/>
      <c r="C240" s="4"/>
      <c r="D240" s="5">
        <v>647.15</v>
      </c>
    </row>
    <row r="241" spans="1:5">
      <c r="A241" s="4" t="s">
        <v>169</v>
      </c>
      <c r="B241" s="4"/>
      <c r="C241" s="4"/>
      <c r="D241" s="5">
        <v>113.1</v>
      </c>
    </row>
    <row r="242" spans="1:5">
      <c r="A242" s="4" t="s">
        <v>169</v>
      </c>
      <c r="B242" s="4"/>
      <c r="C242" s="4"/>
      <c r="D242" s="5">
        <v>76.66</v>
      </c>
    </row>
    <row r="243" spans="1:5">
      <c r="A243" s="4" t="s">
        <v>97</v>
      </c>
      <c r="B243" s="4"/>
      <c r="C243" s="4"/>
      <c r="D243" s="5">
        <v>36</v>
      </c>
    </row>
    <row r="244" spans="1:5">
      <c r="A244" s="4" t="s">
        <v>170</v>
      </c>
      <c r="B244" s="4"/>
      <c r="C244" s="4"/>
      <c r="D244" s="5">
        <v>250</v>
      </c>
    </row>
    <row r="245" spans="1:5">
      <c r="A245" s="4" t="s">
        <v>42</v>
      </c>
      <c r="B245" s="4"/>
      <c r="C245" s="4"/>
      <c r="D245" s="5">
        <v>0</v>
      </c>
    </row>
    <row r="246" spans="1:5">
      <c r="C246" s="11"/>
      <c r="D246" s="11" t="s">
        <v>20</v>
      </c>
      <c r="E246" s="12">
        <f>SUM(D234:D245)</f>
        <v>6060.7199999999993</v>
      </c>
    </row>
    <row r="247" spans="1:5">
      <c r="C247" s="14"/>
      <c r="D247" s="11" t="s">
        <v>34</v>
      </c>
      <c r="E247" s="15">
        <f>E232-E246</f>
        <v>6449.9400000000005</v>
      </c>
    </row>
    <row r="249" spans="1:5">
      <c r="A249" s="3" t="s">
        <v>171</v>
      </c>
      <c r="D249" s="1" t="s">
        <v>172</v>
      </c>
    </row>
    <row r="250" spans="1:5">
      <c r="A250" s="1" t="s">
        <v>127</v>
      </c>
      <c r="D250" s="5">
        <v>40</v>
      </c>
    </row>
    <row r="251" spans="1:5">
      <c r="A251" s="4" t="s">
        <v>13</v>
      </c>
      <c r="B251" s="4"/>
      <c r="C251" s="4"/>
      <c r="D251" s="9"/>
    </row>
    <row r="252" spans="1:5">
      <c r="A252" s="4" t="s">
        <v>14</v>
      </c>
      <c r="B252" s="4"/>
      <c r="C252" s="4"/>
      <c r="D252" s="9"/>
    </row>
    <row r="253" spans="1:5">
      <c r="A253" s="4" t="s">
        <v>15</v>
      </c>
      <c r="B253" s="4"/>
      <c r="C253" s="4"/>
      <c r="D253" s="5">
        <v>3220</v>
      </c>
    </row>
    <row r="254" spans="1:5">
      <c r="A254" s="4" t="s">
        <v>173</v>
      </c>
      <c r="B254" s="32">
        <v>70</v>
      </c>
      <c r="C254" s="4" t="s">
        <v>160</v>
      </c>
      <c r="D254" s="5">
        <f t="shared" ref="D254:D255" si="0">B254*E254</f>
        <v>140</v>
      </c>
      <c r="E254" s="1">
        <v>2</v>
      </c>
    </row>
    <row r="255" spans="1:5">
      <c r="A255" s="4" t="s">
        <v>173</v>
      </c>
      <c r="B255" s="32">
        <v>40</v>
      </c>
      <c r="C255" s="4" t="s">
        <v>160</v>
      </c>
      <c r="D255" s="5">
        <f t="shared" si="0"/>
        <v>80</v>
      </c>
      <c r="E255" s="1">
        <v>2</v>
      </c>
    </row>
    <row r="256" spans="1:5">
      <c r="A256" s="4" t="s">
        <v>174</v>
      </c>
      <c r="B256" s="4"/>
      <c r="C256" s="4"/>
      <c r="D256" s="5">
        <v>125.37</v>
      </c>
    </row>
    <row r="257" spans="1:7">
      <c r="A257" s="1" t="s">
        <v>19</v>
      </c>
      <c r="D257" s="10">
        <f>SUM(D260:D263)</f>
        <v>3022.74</v>
      </c>
    </row>
    <row r="258" spans="1:7">
      <c r="C258" s="11"/>
      <c r="D258" s="11" t="s">
        <v>20</v>
      </c>
      <c r="E258" s="12">
        <f>SUM(D251:D257)-E249</f>
        <v>6588.11</v>
      </c>
    </row>
    <row r="259" spans="1:7">
      <c r="A259" s="2" t="str">
        <f>A6</f>
        <v>Less Expenditures:</v>
      </c>
    </row>
    <row r="260" spans="1:7">
      <c r="A260" s="4" t="s">
        <v>21</v>
      </c>
      <c r="B260" s="4"/>
      <c r="C260" s="4"/>
      <c r="D260" s="5">
        <v>0</v>
      </c>
    </row>
    <row r="261" spans="1:7">
      <c r="A261" s="4" t="s">
        <v>22</v>
      </c>
      <c r="B261" s="4"/>
      <c r="C261" s="4"/>
      <c r="D261" s="5">
        <v>96.6</v>
      </c>
    </row>
    <row r="262" spans="1:7">
      <c r="A262" s="4" t="s">
        <v>175</v>
      </c>
      <c r="B262" s="4"/>
      <c r="C262" s="4"/>
      <c r="D262" s="5">
        <v>959.63</v>
      </c>
      <c r="G262" s="1" t="s">
        <v>176</v>
      </c>
    </row>
    <row r="263" spans="1:7">
      <c r="A263" s="4" t="s">
        <v>177</v>
      </c>
      <c r="B263" s="4"/>
      <c r="C263" s="4"/>
      <c r="D263" s="5">
        <v>1966.51</v>
      </c>
    </row>
    <row r="264" spans="1:7">
      <c r="A264" s="4" t="s">
        <v>178</v>
      </c>
      <c r="B264" s="4"/>
      <c r="C264" s="4"/>
      <c r="D264" s="5">
        <v>199.96</v>
      </c>
    </row>
    <row r="265" spans="1:7">
      <c r="A265" s="4" t="s">
        <v>169</v>
      </c>
      <c r="B265" s="4"/>
      <c r="C265" s="4"/>
      <c r="D265" s="5">
        <v>291.98</v>
      </c>
    </row>
    <row r="266" spans="1:7">
      <c r="A266" s="4" t="s">
        <v>42</v>
      </c>
      <c r="B266" s="4"/>
      <c r="C266" s="4"/>
      <c r="D266" s="5">
        <v>0</v>
      </c>
    </row>
    <row r="267" spans="1:7">
      <c r="C267" s="11"/>
      <c r="D267" s="11" t="s">
        <v>20</v>
      </c>
      <c r="E267" s="12">
        <f>SUM(D260:D266)</f>
        <v>3514.68</v>
      </c>
    </row>
    <row r="268" spans="1:7">
      <c r="C268" s="14"/>
      <c r="D268" s="11" t="s">
        <v>34</v>
      </c>
      <c r="E268" s="15">
        <f>E258-E267</f>
        <v>3073.43</v>
      </c>
    </row>
    <row r="271" spans="1:7">
      <c r="A271" s="3" t="s">
        <v>179</v>
      </c>
      <c r="D271" s="1" t="s">
        <v>180</v>
      </c>
    </row>
    <row r="272" spans="1:7">
      <c r="A272" s="4" t="s">
        <v>13</v>
      </c>
      <c r="B272" s="4"/>
      <c r="C272" s="4"/>
      <c r="D272" s="9"/>
    </row>
    <row r="273" spans="1:7">
      <c r="A273" s="4" t="s">
        <v>14</v>
      </c>
      <c r="B273" s="4"/>
      <c r="C273" s="4"/>
      <c r="D273" s="9"/>
    </row>
    <row r="274" spans="1:7">
      <c r="A274" s="4" t="s">
        <v>15</v>
      </c>
      <c r="B274" s="4"/>
      <c r="C274" s="4"/>
      <c r="D274" s="5">
        <v>6965</v>
      </c>
    </row>
    <row r="275" spans="1:7">
      <c r="A275" s="4" t="s">
        <v>173</v>
      </c>
      <c r="B275" s="32">
        <v>35</v>
      </c>
      <c r="C275" s="4" t="s">
        <v>160</v>
      </c>
      <c r="D275" s="5">
        <f>B275*E275</f>
        <v>210</v>
      </c>
      <c r="E275" s="1">
        <v>6</v>
      </c>
    </row>
    <row r="276" spans="1:7">
      <c r="A276" s="4" t="s">
        <v>18</v>
      </c>
      <c r="B276" s="4"/>
      <c r="C276" s="4"/>
      <c r="D276" s="9"/>
    </row>
    <row r="277" spans="1:7">
      <c r="A277" s="4" t="s">
        <v>18</v>
      </c>
      <c r="B277" s="4"/>
      <c r="C277" s="4"/>
      <c r="D277" s="5"/>
    </row>
    <row r="278" spans="1:7">
      <c r="D278" s="10"/>
    </row>
    <row r="279" spans="1:7">
      <c r="C279" s="11"/>
      <c r="D279" s="11" t="s">
        <v>20</v>
      </c>
      <c r="E279" s="12">
        <f>SUM(D272:D278)-E271</f>
        <v>7175</v>
      </c>
    </row>
    <row r="280" spans="1:7">
      <c r="A280" s="2"/>
    </row>
    <row r="281" spans="1:7">
      <c r="A281" s="2" t="str">
        <f>A6</f>
        <v>Less Expenditures:</v>
      </c>
    </row>
    <row r="282" spans="1:7">
      <c r="A282" s="4" t="s">
        <v>21</v>
      </c>
      <c r="B282" s="4"/>
      <c r="C282" s="4"/>
      <c r="D282" s="5">
        <v>0</v>
      </c>
    </row>
    <row r="283" spans="1:7">
      <c r="A283" s="4" t="s">
        <v>22</v>
      </c>
      <c r="B283" s="4"/>
      <c r="C283" s="4"/>
      <c r="D283" s="5">
        <v>208.95</v>
      </c>
    </row>
    <row r="284" spans="1:7">
      <c r="A284" s="4" t="s">
        <v>181</v>
      </c>
      <c r="B284" s="4"/>
      <c r="C284" s="4"/>
      <c r="D284" s="5">
        <v>1573</v>
      </c>
      <c r="G284" s="1" t="s">
        <v>176</v>
      </c>
    </row>
    <row r="285" spans="1:7">
      <c r="A285" s="4" t="s">
        <v>182</v>
      </c>
      <c r="B285" s="32">
        <v>35</v>
      </c>
      <c r="C285" s="4" t="s">
        <v>160</v>
      </c>
      <c r="D285" s="5">
        <f>B285*E285</f>
        <v>35</v>
      </c>
      <c r="E285" s="1">
        <v>1</v>
      </c>
    </row>
    <row r="286" spans="1:7">
      <c r="A286" s="4" t="s">
        <v>183</v>
      </c>
      <c r="B286" s="4"/>
      <c r="C286" s="4"/>
      <c r="D286" s="5"/>
    </row>
    <row r="287" spans="1:7">
      <c r="A287" s="4"/>
      <c r="B287" s="4"/>
      <c r="C287" s="4"/>
      <c r="D287" s="5"/>
    </row>
    <row r="288" spans="1:7">
      <c r="A288" s="4" t="s">
        <v>42</v>
      </c>
      <c r="B288" s="4"/>
      <c r="C288" s="4"/>
      <c r="D288" s="5">
        <v>0</v>
      </c>
    </row>
    <row r="289" spans="3:6">
      <c r="C289" s="11"/>
      <c r="D289" s="11" t="s">
        <v>20</v>
      </c>
      <c r="E289" s="12">
        <f>SUM(D282:D288)</f>
        <v>1816.95</v>
      </c>
    </row>
    <row r="290" spans="3:6">
      <c r="C290" s="14"/>
      <c r="D290" s="11" t="s">
        <v>34</v>
      </c>
      <c r="E290" s="15">
        <f>E279-E289</f>
        <v>5358.05</v>
      </c>
      <c r="F290" s="1" t="s">
        <v>184</v>
      </c>
    </row>
  </sheetData>
  <printOptions horizontalCentered="1"/>
  <pageMargins left="0.7" right="0.7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25"/>
  <sheetViews>
    <sheetView workbookViewId="0"/>
  </sheetViews>
  <sheetFormatPr defaultColWidth="12.5703125" defaultRowHeight="15.75" customHeight="1"/>
  <cols>
    <col min="1" max="2" width="22.42578125" customWidth="1"/>
    <col min="3" max="3" width="26.5703125" customWidth="1"/>
    <col min="5" max="5" width="19.5703125" customWidth="1"/>
    <col min="6" max="6" width="42.85546875" customWidth="1"/>
  </cols>
  <sheetData>
    <row r="1" spans="1:26" ht="15.75" customHeight="1">
      <c r="A1" s="34" t="s">
        <v>185</v>
      </c>
      <c r="B1" s="35"/>
      <c r="C1" s="35"/>
      <c r="D1" s="35"/>
      <c r="E1" s="35"/>
      <c r="F1" s="35"/>
    </row>
    <row r="2" spans="1:26">
      <c r="A2" s="35"/>
      <c r="B2" s="35"/>
      <c r="C2" s="35"/>
      <c r="D2" s="35"/>
      <c r="E2" s="35"/>
      <c r="F2" s="35"/>
    </row>
    <row r="3" spans="1:26" ht="15.75" customHeight="1">
      <c r="A3" s="36" t="s">
        <v>186</v>
      </c>
      <c r="B3" s="35"/>
      <c r="C3" s="35"/>
      <c r="D3" s="35"/>
      <c r="E3" s="35"/>
      <c r="F3" s="35"/>
    </row>
    <row r="4" spans="1:26">
      <c r="A4" s="35" t="s">
        <v>187</v>
      </c>
      <c r="B4" s="35" t="s">
        <v>188</v>
      </c>
      <c r="C4" s="35" t="s">
        <v>189</v>
      </c>
      <c r="D4" s="35" t="s">
        <v>190</v>
      </c>
      <c r="E4" s="35" t="s">
        <v>191</v>
      </c>
      <c r="F4" s="35" t="s">
        <v>192</v>
      </c>
    </row>
    <row r="5" spans="1:26">
      <c r="A5" s="1">
        <v>2024</v>
      </c>
      <c r="B5" s="1" t="s">
        <v>193</v>
      </c>
      <c r="C5" s="5">
        <v>72746.05</v>
      </c>
      <c r="D5" s="1"/>
      <c r="E5" s="5">
        <f>D5+C5</f>
        <v>72746.05</v>
      </c>
      <c r="F5" s="5" t="s">
        <v>194</v>
      </c>
    </row>
    <row r="6" spans="1:26">
      <c r="A6" s="1">
        <v>2023</v>
      </c>
      <c r="B6" s="1" t="s">
        <v>195</v>
      </c>
      <c r="C6" s="1"/>
      <c r="D6" s="5">
        <v>50000</v>
      </c>
      <c r="E6" s="5">
        <v>50000</v>
      </c>
      <c r="F6" s="1"/>
    </row>
    <row r="7" spans="1:26">
      <c r="A7" s="1">
        <v>2023</v>
      </c>
      <c r="B7" s="1" t="s">
        <v>193</v>
      </c>
      <c r="C7" s="5">
        <v>56120.01</v>
      </c>
      <c r="D7" s="1"/>
      <c r="E7" s="5">
        <v>56120.01</v>
      </c>
      <c r="F7" s="5" t="s">
        <v>196</v>
      </c>
    </row>
    <row r="8" spans="1:26">
      <c r="A8" s="1">
        <v>2022</v>
      </c>
      <c r="B8" s="1" t="s">
        <v>197</v>
      </c>
      <c r="C8" s="5">
        <v>33475.269999999997</v>
      </c>
      <c r="D8" s="1"/>
      <c r="E8" s="5">
        <v>33475.269999999997</v>
      </c>
      <c r="F8" s="1"/>
    </row>
    <row r="9" spans="1:26">
      <c r="A9" s="1">
        <v>2021</v>
      </c>
      <c r="B9" s="1" t="s">
        <v>195</v>
      </c>
      <c r="C9" s="1"/>
      <c r="D9" s="5">
        <v>50000</v>
      </c>
      <c r="E9" s="5">
        <v>50000</v>
      </c>
      <c r="F9" s="1"/>
    </row>
    <row r="10" spans="1:26">
      <c r="A10" s="1">
        <v>2021</v>
      </c>
      <c r="B10" s="1" t="s">
        <v>197</v>
      </c>
      <c r="C10" s="5">
        <v>34908.080000000002</v>
      </c>
      <c r="D10" s="1"/>
      <c r="E10" s="5">
        <v>34908.080000000002</v>
      </c>
      <c r="F10" s="1"/>
    </row>
    <row r="11" spans="1:26">
      <c r="A11" s="1">
        <v>2020</v>
      </c>
      <c r="B11" s="1" t="s">
        <v>195</v>
      </c>
      <c r="C11" s="1"/>
      <c r="D11" s="5">
        <v>60550</v>
      </c>
      <c r="E11" s="5">
        <v>60550</v>
      </c>
      <c r="F11" s="1" t="s">
        <v>198</v>
      </c>
    </row>
    <row r="12" spans="1:26">
      <c r="A12" s="1">
        <v>2019</v>
      </c>
      <c r="B12" s="1" t="s">
        <v>195</v>
      </c>
      <c r="C12" s="1"/>
      <c r="D12" s="5">
        <v>44726</v>
      </c>
      <c r="E12" s="5">
        <v>44726</v>
      </c>
      <c r="F12" s="1"/>
    </row>
    <row r="13" spans="1:26">
      <c r="A13" s="1">
        <v>2019</v>
      </c>
      <c r="B13" s="1" t="s">
        <v>197</v>
      </c>
      <c r="C13" s="5">
        <v>22687.71</v>
      </c>
      <c r="D13" s="1"/>
      <c r="E13" s="5">
        <v>22687.71</v>
      </c>
      <c r="F13" s="1"/>
    </row>
    <row r="14" spans="1:26">
      <c r="A14" s="1">
        <v>2018</v>
      </c>
      <c r="B14" s="1" t="s">
        <v>195</v>
      </c>
      <c r="C14" s="1"/>
      <c r="D14" s="1"/>
      <c r="E14" s="1"/>
      <c r="F14" s="1" t="s">
        <v>199</v>
      </c>
    </row>
    <row r="15" spans="1:26">
      <c r="A15" s="2" t="s">
        <v>200</v>
      </c>
      <c r="B15" s="2"/>
      <c r="C15" s="10">
        <f t="shared" ref="C15:D15" si="0">SUM(C5:C14)</f>
        <v>219937.11999999997</v>
      </c>
      <c r="D15" s="10">
        <f t="shared" si="0"/>
        <v>205276</v>
      </c>
      <c r="E15" s="10">
        <f>D15+C15</f>
        <v>425213.12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26" ht="15.75" customHeight="1">
      <c r="A17" s="36" t="s">
        <v>201</v>
      </c>
    </row>
    <row r="18" spans="1:26">
      <c r="A18" s="35" t="s">
        <v>202</v>
      </c>
      <c r="B18" s="35" t="s">
        <v>203</v>
      </c>
      <c r="C18" s="35" t="s">
        <v>204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37">
        <v>44138</v>
      </c>
      <c r="B19" s="5">
        <v>46000</v>
      </c>
      <c r="C19" s="1" t="s">
        <v>205</v>
      </c>
      <c r="D19" s="1"/>
    </row>
    <row r="20" spans="1:26">
      <c r="A20" s="37">
        <v>44496</v>
      </c>
      <c r="B20" s="5">
        <v>69865.42</v>
      </c>
      <c r="C20" s="1" t="s">
        <v>206</v>
      </c>
      <c r="D20" s="1"/>
    </row>
    <row r="21" spans="1:26">
      <c r="A21" s="37">
        <v>44771</v>
      </c>
      <c r="B21" s="5">
        <v>21197</v>
      </c>
      <c r="C21" s="1" t="s">
        <v>207</v>
      </c>
      <c r="D21" s="1"/>
    </row>
    <row r="22" spans="1:26">
      <c r="A22" s="37">
        <v>44904</v>
      </c>
      <c r="B22" s="5">
        <v>21197</v>
      </c>
      <c r="C22" s="1" t="s">
        <v>208</v>
      </c>
      <c r="D22" s="1"/>
    </row>
    <row r="23" spans="1:26">
      <c r="A23" s="37">
        <v>45000</v>
      </c>
      <c r="B23" s="5">
        <v>145520</v>
      </c>
      <c r="C23" s="1" t="s">
        <v>209</v>
      </c>
      <c r="D23" s="1"/>
    </row>
    <row r="24" spans="1:26">
      <c r="A24" s="37">
        <v>45618</v>
      </c>
      <c r="B24" s="5">
        <v>148594.65</v>
      </c>
      <c r="C24" s="1" t="s">
        <v>210</v>
      </c>
      <c r="D24" s="1"/>
    </row>
    <row r="25" spans="1:26">
      <c r="A25" s="2" t="s">
        <v>211</v>
      </c>
      <c r="B25" s="10">
        <f>SUM(B19:B24)</f>
        <v>452374.06999999995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39"/>
  <sheetViews>
    <sheetView workbookViewId="0"/>
  </sheetViews>
  <sheetFormatPr defaultColWidth="12.5703125" defaultRowHeight="15.75" customHeight="1"/>
  <sheetData>
    <row r="1" spans="1:5" ht="15.75" customHeight="1">
      <c r="A1" s="38" t="s">
        <v>212</v>
      </c>
    </row>
    <row r="2" spans="1:5">
      <c r="A2" s="39" t="s">
        <v>213</v>
      </c>
    </row>
    <row r="4" spans="1:5">
      <c r="A4" s="39"/>
    </row>
    <row r="6" spans="1:5">
      <c r="A6" s="39" t="s">
        <v>214</v>
      </c>
      <c r="B6" s="1" t="s">
        <v>215</v>
      </c>
    </row>
    <row r="8" spans="1:5">
      <c r="A8" s="39" t="s">
        <v>216</v>
      </c>
      <c r="D8" s="14">
        <v>45292</v>
      </c>
      <c r="E8" s="12">
        <v>211855.35</v>
      </c>
    </row>
    <row r="10" spans="1:5">
      <c r="A10" s="2" t="s">
        <v>1</v>
      </c>
    </row>
    <row r="11" spans="1:5" ht="15.75" customHeight="1">
      <c r="A11" s="4" t="s">
        <v>217</v>
      </c>
      <c r="B11" s="4"/>
      <c r="C11" s="4"/>
      <c r="D11" s="40">
        <v>2515.4899999999998</v>
      </c>
    </row>
    <row r="12" spans="1:5" ht="15.75" customHeight="1">
      <c r="A12" s="4" t="s">
        <v>218</v>
      </c>
      <c r="B12" s="4"/>
      <c r="C12" s="4"/>
      <c r="D12" s="40">
        <v>27</v>
      </c>
    </row>
    <row r="13" spans="1:5">
      <c r="A13" s="4"/>
      <c r="B13" s="4"/>
      <c r="C13" s="4"/>
      <c r="D13" s="5"/>
    </row>
    <row r="14" spans="1:5">
      <c r="A14" s="1" t="s">
        <v>219</v>
      </c>
    </row>
    <row r="15" spans="1:5" ht="15.75" customHeight="1">
      <c r="A15" s="4" t="s">
        <v>220</v>
      </c>
      <c r="B15" s="4"/>
      <c r="C15" s="4"/>
      <c r="D15" s="40">
        <v>6178.75</v>
      </c>
    </row>
    <row r="16" spans="1:5" ht="15.75" customHeight="1">
      <c r="A16" s="4" t="s">
        <v>221</v>
      </c>
      <c r="B16" s="4"/>
      <c r="C16" s="4"/>
      <c r="D16" s="40">
        <v>70</v>
      </c>
    </row>
    <row r="17" spans="1:5">
      <c r="A17" s="4"/>
      <c r="B17" s="4"/>
      <c r="C17" s="4"/>
      <c r="D17" s="5"/>
    </row>
    <row r="18" spans="1:5">
      <c r="A18" s="1" t="s">
        <v>222</v>
      </c>
    </row>
    <row r="19" spans="1:5">
      <c r="A19" s="4"/>
      <c r="B19" s="4"/>
      <c r="C19" s="4"/>
      <c r="D19" s="5"/>
    </row>
    <row r="20" spans="1:5">
      <c r="C20" s="11"/>
      <c r="D20" s="11" t="s">
        <v>20</v>
      </c>
      <c r="E20" s="12">
        <f>SUM(D11:D19)</f>
        <v>8791.24</v>
      </c>
    </row>
    <row r="21" spans="1:5">
      <c r="A21" s="2" t="s">
        <v>2</v>
      </c>
    </row>
    <row r="22" spans="1:5" ht="15.75" customHeight="1">
      <c r="A22" s="4" t="s">
        <v>223</v>
      </c>
      <c r="B22" s="4"/>
      <c r="C22" s="4"/>
      <c r="D22" s="40">
        <v>350.2</v>
      </c>
    </row>
    <row r="23" spans="1:5">
      <c r="A23" s="4" t="s">
        <v>224</v>
      </c>
      <c r="B23" s="4"/>
      <c r="C23" s="4"/>
      <c r="D23" s="5">
        <v>0</v>
      </c>
    </row>
    <row r="24" spans="1:5">
      <c r="A24" s="1" t="s">
        <v>225</v>
      </c>
    </row>
    <row r="25" spans="1:5" ht="15.75" customHeight="1">
      <c r="A25" s="41" t="s">
        <v>220</v>
      </c>
      <c r="B25" s="4"/>
      <c r="C25" s="4"/>
      <c r="D25" s="40">
        <v>286.48</v>
      </c>
    </row>
    <row r="26" spans="1:5" ht="15.75" customHeight="1">
      <c r="A26" s="41" t="s">
        <v>226</v>
      </c>
      <c r="B26" s="4"/>
      <c r="C26" s="4"/>
      <c r="D26" s="40">
        <v>7722.68</v>
      </c>
    </row>
    <row r="27" spans="1:5" ht="15.75" customHeight="1">
      <c r="A27" s="41" t="s">
        <v>227</v>
      </c>
      <c r="B27" s="4"/>
      <c r="C27" s="4"/>
      <c r="D27" s="40">
        <v>560</v>
      </c>
    </row>
    <row r="28" spans="1:5" ht="15.75" customHeight="1">
      <c r="A28" s="41" t="s">
        <v>5</v>
      </c>
      <c r="B28" s="4"/>
      <c r="C28" s="4"/>
      <c r="D28" s="40">
        <v>1315.6</v>
      </c>
    </row>
    <row r="29" spans="1:5">
      <c r="A29" s="1"/>
    </row>
    <row r="30" spans="1:5">
      <c r="A30" s="1" t="s">
        <v>228</v>
      </c>
    </row>
    <row r="31" spans="1:5">
      <c r="A31" s="4"/>
      <c r="B31" s="4"/>
      <c r="C31" s="4"/>
      <c r="D31" s="5"/>
    </row>
    <row r="32" spans="1:5">
      <c r="C32" s="11"/>
      <c r="D32" s="11" t="s">
        <v>20</v>
      </c>
      <c r="E32" s="12">
        <f>SUM(D22:D30)</f>
        <v>10234.960000000001</v>
      </c>
    </row>
    <row r="33" spans="1:5">
      <c r="A33" s="1" t="s">
        <v>229</v>
      </c>
      <c r="C33" s="42">
        <v>45429</v>
      </c>
      <c r="D33" s="16" t="s">
        <v>230</v>
      </c>
      <c r="E33" s="15">
        <f>E8+E20-E32</f>
        <v>210411.63</v>
      </c>
    </row>
    <row r="35" spans="1:5" ht="12.75">
      <c r="D35" s="5"/>
    </row>
    <row r="36" spans="1:5" ht="12.75">
      <c r="A36" s="1" t="s">
        <v>231</v>
      </c>
      <c r="D36" s="5">
        <v>1792.77</v>
      </c>
    </row>
    <row r="37" spans="1:5" ht="12.75">
      <c r="A37" s="1" t="s">
        <v>232</v>
      </c>
      <c r="D37" s="16" t="s">
        <v>233</v>
      </c>
      <c r="E37" s="15">
        <f>E33+D35+D36</f>
        <v>212204.4</v>
      </c>
    </row>
    <row r="39" spans="1:5" ht="12.75">
      <c r="A39" s="1"/>
    </row>
  </sheetData>
  <printOptions horizontalCentered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E59"/>
  <sheetViews>
    <sheetView workbookViewId="0"/>
  </sheetViews>
  <sheetFormatPr defaultColWidth="12.5703125" defaultRowHeight="15.75" customHeight="1"/>
  <sheetData>
    <row r="1" spans="1:5" ht="15.75" customHeight="1">
      <c r="A1" s="38" t="s">
        <v>212</v>
      </c>
    </row>
    <row r="2" spans="1:5">
      <c r="A2" s="39" t="s">
        <v>213</v>
      </c>
    </row>
    <row r="4" spans="1:5">
      <c r="A4" s="39" t="s">
        <v>234</v>
      </c>
      <c r="B4" s="43">
        <v>45108</v>
      </c>
      <c r="C4" s="1" t="s">
        <v>235</v>
      </c>
    </row>
    <row r="6" spans="1:5">
      <c r="A6" s="39" t="s">
        <v>214</v>
      </c>
      <c r="B6" s="1" t="s">
        <v>215</v>
      </c>
    </row>
    <row r="8" spans="1:5">
      <c r="A8" s="39" t="s">
        <v>216</v>
      </c>
      <c r="D8" s="14">
        <v>45108</v>
      </c>
      <c r="E8" s="12">
        <v>134437.88</v>
      </c>
    </row>
    <row r="10" spans="1:5">
      <c r="A10" s="2" t="s">
        <v>1</v>
      </c>
    </row>
    <row r="11" spans="1:5">
      <c r="A11" s="4" t="s">
        <v>217</v>
      </c>
      <c r="B11" s="4"/>
      <c r="C11" s="4"/>
      <c r="D11" s="5">
        <f>283.51+295.45+358.21+416.08</f>
        <v>1353.25</v>
      </c>
    </row>
    <row r="12" spans="1:5">
      <c r="A12" s="4" t="s">
        <v>236</v>
      </c>
      <c r="B12" s="4"/>
      <c r="C12" s="4"/>
      <c r="D12" s="5">
        <v>47562.15</v>
      </c>
    </row>
    <row r="13" spans="1:5">
      <c r="A13" s="4"/>
      <c r="B13" s="4"/>
      <c r="C13" s="4"/>
      <c r="D13" s="5"/>
    </row>
    <row r="14" spans="1:5">
      <c r="A14" s="1" t="s">
        <v>219</v>
      </c>
    </row>
    <row r="15" spans="1:5">
      <c r="A15" s="4" t="s">
        <v>237</v>
      </c>
      <c r="B15" s="4"/>
      <c r="C15" s="4"/>
      <c r="D15" s="5">
        <f>'Per Event 2023'!E92</f>
        <v>1054.55</v>
      </c>
    </row>
    <row r="16" spans="1:5">
      <c r="A16" s="4" t="s">
        <v>238</v>
      </c>
      <c r="B16" s="4"/>
      <c r="C16" s="4"/>
      <c r="D16" s="5">
        <f>'Per Event 2023'!E106</f>
        <v>9426.7000000000007</v>
      </c>
    </row>
    <row r="17" spans="1:5">
      <c r="A17" s="4" t="s">
        <v>239</v>
      </c>
      <c r="B17" s="4"/>
      <c r="C17" s="4"/>
      <c r="D17" s="5">
        <f>'Per Event 2023'!D119</f>
        <v>2000</v>
      </c>
    </row>
    <row r="18" spans="1:5">
      <c r="A18" s="4" t="s">
        <v>240</v>
      </c>
      <c r="B18" s="4"/>
      <c r="C18" s="4"/>
      <c r="D18" s="5">
        <f>'Per Event 2023'!D118</f>
        <v>36658.28</v>
      </c>
    </row>
    <row r="19" spans="1:5">
      <c r="A19" s="4"/>
      <c r="B19" s="4"/>
      <c r="C19" s="4"/>
      <c r="D19" s="5"/>
    </row>
    <row r="20" spans="1:5">
      <c r="A20" s="1" t="s">
        <v>222</v>
      </c>
    </row>
    <row r="21" spans="1:5">
      <c r="A21" s="4"/>
      <c r="B21" s="4"/>
      <c r="C21" s="4"/>
      <c r="D21" s="5"/>
    </row>
    <row r="25" spans="1:5">
      <c r="C25" s="11"/>
      <c r="D25" s="11" t="s">
        <v>20</v>
      </c>
      <c r="E25" s="12">
        <f>SUM(D11:D24)</f>
        <v>98054.930000000008</v>
      </c>
    </row>
    <row r="26" spans="1:5">
      <c r="A26" s="2" t="s">
        <v>2</v>
      </c>
    </row>
    <row r="27" spans="1:5">
      <c r="A27" s="4" t="s">
        <v>223</v>
      </c>
      <c r="B27" s="4"/>
      <c r="C27" s="4"/>
      <c r="D27" s="5">
        <f>59+59+59+59</f>
        <v>236</v>
      </c>
    </row>
    <row r="28" spans="1:5">
      <c r="A28" s="4" t="s">
        <v>224</v>
      </c>
      <c r="B28" s="4"/>
      <c r="C28" s="4"/>
      <c r="D28" s="5">
        <f>2.5*0</f>
        <v>0</v>
      </c>
    </row>
    <row r="29" spans="1:5">
      <c r="A29" s="4" t="s">
        <v>241</v>
      </c>
      <c r="B29" s="4"/>
      <c r="C29" s="4"/>
      <c r="D29" s="5">
        <v>700</v>
      </c>
    </row>
    <row r="30" spans="1:5">
      <c r="A30" s="4" t="s">
        <v>242</v>
      </c>
      <c r="B30" s="4"/>
      <c r="C30" s="4"/>
      <c r="D30" s="5">
        <f>154+445+161</f>
        <v>760</v>
      </c>
    </row>
    <row r="31" spans="1:5">
      <c r="A31" s="1" t="s">
        <v>225</v>
      </c>
    </row>
    <row r="32" spans="1:5">
      <c r="A32" s="4" t="s">
        <v>243</v>
      </c>
      <c r="B32" s="4"/>
      <c r="C32" s="4"/>
      <c r="D32" s="5">
        <f>'Per Event 2023'!D122+'Per Event 2023'!D123</f>
        <v>1732.5</v>
      </c>
    </row>
    <row r="33" spans="1:4">
      <c r="A33" s="4" t="s">
        <v>244</v>
      </c>
      <c r="B33" s="4"/>
      <c r="C33" s="4"/>
      <c r="D33" s="5">
        <f>'Per Event 2023'!D124+'Per Event 2023'!D125</f>
        <v>146.48000000000002</v>
      </c>
    </row>
    <row r="34" spans="1:4">
      <c r="A34" s="4" t="str">
        <f>"Fathers Day Stall -"&amp;'Per Event 2023'!A110</f>
        <v>Fathers Day Stall -Products from Keyrings</v>
      </c>
      <c r="B34" s="4"/>
      <c r="C34" s="4"/>
      <c r="D34" s="5">
        <f>'Per Event 2023'!D110</f>
        <v>270</v>
      </c>
    </row>
    <row r="35" spans="1:4" ht="12.75">
      <c r="A35" s="4" t="str">
        <f>"3-6 Athletics Carnval "&amp; 'Per Event 2023'!A94</f>
        <v>3-6 Athletics Carnval Reimbursements</v>
      </c>
      <c r="B35" s="4"/>
      <c r="C35" s="4"/>
      <c r="D35" s="5">
        <f>'Per Event 2023'!D94</f>
        <v>592.99</v>
      </c>
    </row>
    <row r="36" spans="1:4" ht="12.75">
      <c r="A36" s="4"/>
      <c r="B36" s="4"/>
      <c r="C36" s="4"/>
      <c r="D36" s="5"/>
    </row>
    <row r="37" spans="1:4" ht="12.75">
      <c r="A37" s="4"/>
      <c r="B37" s="4"/>
      <c r="C37" s="4"/>
      <c r="D37" s="5"/>
    </row>
    <row r="38" spans="1:4" ht="12.75">
      <c r="A38" s="4"/>
      <c r="B38" s="4"/>
      <c r="C38" s="4"/>
      <c r="D38" s="5"/>
    </row>
    <row r="39" spans="1:4" ht="12.75">
      <c r="A39" s="4"/>
      <c r="B39" s="4"/>
      <c r="C39" s="4"/>
      <c r="D39" s="5"/>
    </row>
    <row r="40" spans="1:4" ht="12.75">
      <c r="A40" s="4"/>
      <c r="B40" s="4"/>
      <c r="C40" s="4"/>
      <c r="D40" s="5"/>
    </row>
    <row r="41" spans="1:4" ht="12.75">
      <c r="A41" s="4"/>
      <c r="B41" s="4"/>
      <c r="C41" s="4"/>
      <c r="D41" s="5"/>
    </row>
    <row r="42" spans="1:4" ht="12.75">
      <c r="A42" s="4"/>
      <c r="B42" s="4"/>
      <c r="C42" s="4"/>
      <c r="D42" s="5"/>
    </row>
    <row r="43" spans="1:4" ht="12.75">
      <c r="A43" s="4"/>
      <c r="B43" s="4"/>
      <c r="C43" s="4"/>
      <c r="D43" s="5"/>
    </row>
    <row r="44" spans="1:4" ht="12.75">
      <c r="A44" s="4"/>
      <c r="B44" s="4"/>
      <c r="C44" s="4"/>
      <c r="D44" s="5"/>
    </row>
    <row r="45" spans="1:4" ht="12.75">
      <c r="A45" s="4"/>
      <c r="B45" s="4"/>
      <c r="C45" s="4"/>
      <c r="D45" s="5"/>
    </row>
    <row r="46" spans="1:4" ht="12.75">
      <c r="A46" s="1"/>
    </row>
    <row r="47" spans="1:4" ht="12.75">
      <c r="A47" s="1" t="s">
        <v>228</v>
      </c>
    </row>
    <row r="48" spans="1:4" ht="12.75">
      <c r="A48" s="4" t="s">
        <v>245</v>
      </c>
      <c r="B48" s="4"/>
      <c r="C48" s="4"/>
      <c r="D48" s="5">
        <v>21241</v>
      </c>
    </row>
    <row r="49" spans="1:5" ht="12.75">
      <c r="A49" s="4"/>
      <c r="B49" s="4"/>
      <c r="C49" s="4"/>
      <c r="D49" s="5"/>
    </row>
    <row r="50" spans="1:5" ht="12.75">
      <c r="A50" s="4"/>
      <c r="B50" s="4"/>
      <c r="C50" s="4"/>
      <c r="D50" s="5"/>
    </row>
    <row r="51" spans="1:5" ht="12.75">
      <c r="A51" s="4"/>
      <c r="B51" s="4"/>
      <c r="C51" s="4"/>
      <c r="D51" s="5"/>
    </row>
    <row r="52" spans="1:5" ht="12.75">
      <c r="C52" s="11"/>
      <c r="D52" s="11" t="s">
        <v>20</v>
      </c>
      <c r="E52" s="12">
        <f>SUM(D27:D51)</f>
        <v>25678.97</v>
      </c>
    </row>
    <row r="53" spans="1:5" ht="12.75">
      <c r="A53" s="1" t="s">
        <v>229</v>
      </c>
      <c r="C53" s="42">
        <v>45210</v>
      </c>
      <c r="D53" s="16" t="s">
        <v>246</v>
      </c>
      <c r="E53" s="15">
        <f>E8+E25-E52</f>
        <v>206813.84</v>
      </c>
    </row>
    <row r="55" spans="1:5" ht="12.75">
      <c r="A55" s="1" t="s">
        <v>247</v>
      </c>
      <c r="D55" s="5">
        <v>0</v>
      </c>
    </row>
    <row r="56" spans="1:5" ht="12.75">
      <c r="A56" s="1" t="s">
        <v>231</v>
      </c>
      <c r="D56" s="5">
        <v>1792.77</v>
      </c>
    </row>
    <row r="57" spans="1:5" ht="12.75">
      <c r="A57" s="1" t="s">
        <v>232</v>
      </c>
      <c r="D57" s="16" t="s">
        <v>248</v>
      </c>
      <c r="E57" s="15">
        <f>E53+D55+D56</f>
        <v>208606.61</v>
      </c>
    </row>
    <row r="59" spans="1:5" ht="12.75">
      <c r="A59" s="1"/>
    </row>
  </sheetData>
  <printOptions horizontalCentered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A225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2" max="2" width="18.140625" customWidth="1"/>
  </cols>
  <sheetData>
    <row r="1" spans="1:8">
      <c r="A1" s="1" t="s">
        <v>0</v>
      </c>
      <c r="B1" s="2" t="s">
        <v>1</v>
      </c>
      <c r="C1" s="2">
        <f>'Jan-May 2024'!C16</f>
        <v>0</v>
      </c>
      <c r="D1" s="2" t="s">
        <v>2</v>
      </c>
      <c r="G1" s="2" t="s">
        <v>3</v>
      </c>
      <c r="H1" s="1" t="s">
        <v>4</v>
      </c>
    </row>
    <row r="2" spans="1:8">
      <c r="A2" s="3" t="s">
        <v>5</v>
      </c>
    </row>
    <row r="3" spans="1:8">
      <c r="A3" s="2" t="str">
        <f>$B$1</f>
        <v>Add sources of revenue:</v>
      </c>
    </row>
    <row r="6" spans="1:8">
      <c r="A6" s="2" t="str">
        <f>$D$1</f>
        <v>Less Expenditures:</v>
      </c>
    </row>
    <row r="7" spans="1:8">
      <c r="A7" s="4" t="s">
        <v>6</v>
      </c>
      <c r="B7" s="4"/>
      <c r="C7" s="4"/>
      <c r="D7" s="5">
        <v>1315.6</v>
      </c>
      <c r="E7" s="6">
        <v>45332</v>
      </c>
      <c r="F7" s="1" t="s">
        <v>7</v>
      </c>
      <c r="G7" s="7"/>
    </row>
    <row r="8" spans="1:8">
      <c r="A8" s="4"/>
      <c r="B8" s="4"/>
      <c r="C8" s="4"/>
      <c r="D8" s="5"/>
    </row>
    <row r="10" spans="1:8">
      <c r="A10" s="3" t="s">
        <v>8</v>
      </c>
    </row>
    <row r="11" spans="1:8">
      <c r="A11" s="4" t="s">
        <v>10</v>
      </c>
      <c r="B11" s="4"/>
      <c r="C11" s="4"/>
      <c r="D11" s="5">
        <v>500</v>
      </c>
    </row>
    <row r="12" spans="1:8">
      <c r="A12" s="4" t="s">
        <v>11</v>
      </c>
      <c r="B12" s="4"/>
      <c r="C12" s="4"/>
      <c r="D12" s="5">
        <v>400</v>
      </c>
    </row>
    <row r="13" spans="1:8">
      <c r="A13" s="2" t="str">
        <f>$B$1</f>
        <v>Add sources of revenue:</v>
      </c>
      <c r="E13" s="5">
        <f>D11-D12</f>
        <v>100</v>
      </c>
      <c r="F13" s="8" t="s">
        <v>12</v>
      </c>
    </row>
    <row r="14" spans="1:8">
      <c r="A14" s="4" t="s">
        <v>13</v>
      </c>
      <c r="B14" s="4"/>
      <c r="C14" s="4"/>
      <c r="D14" s="9">
        <v>1845</v>
      </c>
    </row>
    <row r="15" spans="1:8">
      <c r="A15" s="4" t="s">
        <v>14</v>
      </c>
      <c r="B15" s="4"/>
      <c r="C15" s="4"/>
      <c r="D15" s="9">
        <v>1280</v>
      </c>
    </row>
    <row r="16" spans="1:8">
      <c r="A16" s="4" t="s">
        <v>15</v>
      </c>
      <c r="B16" s="4"/>
      <c r="C16" s="4"/>
      <c r="D16" s="5">
        <v>2400</v>
      </c>
      <c r="E16" s="1" t="s">
        <v>16</v>
      </c>
    </row>
    <row r="17" spans="1:8">
      <c r="A17" s="4" t="s">
        <v>17</v>
      </c>
      <c r="B17" s="4"/>
      <c r="C17" s="4"/>
      <c r="D17" s="5">
        <v>100</v>
      </c>
    </row>
    <row r="18" spans="1:8">
      <c r="A18" s="4" t="s">
        <v>18</v>
      </c>
      <c r="B18" s="4"/>
      <c r="C18" s="4"/>
      <c r="D18" s="9">
        <v>497.5</v>
      </c>
    </row>
    <row r="19" spans="1:8">
      <c r="A19" s="4" t="s">
        <v>18</v>
      </c>
      <c r="B19" s="4"/>
      <c r="C19" s="4"/>
      <c r="D19" s="5">
        <v>128.25</v>
      </c>
    </row>
    <row r="20" spans="1:8">
      <c r="A20" s="1" t="s">
        <v>19</v>
      </c>
      <c r="D20" s="10">
        <f>SUM(D26:D28)</f>
        <v>484.5</v>
      </c>
    </row>
    <row r="21" spans="1:8">
      <c r="C21" s="11"/>
      <c r="D21" s="11" t="s">
        <v>20</v>
      </c>
      <c r="E21" s="12">
        <f>SUM(D14:D20)-E13</f>
        <v>6635.25</v>
      </c>
    </row>
    <row r="22" spans="1:8">
      <c r="A22" s="2"/>
    </row>
    <row r="23" spans="1:8">
      <c r="A23" s="2" t="str">
        <f>$D$1</f>
        <v>Less Expenditures:</v>
      </c>
    </row>
    <row r="24" spans="1:8">
      <c r="A24" s="4" t="s">
        <v>21</v>
      </c>
      <c r="B24" s="4"/>
      <c r="C24" s="4"/>
      <c r="D24" s="9">
        <v>34.39</v>
      </c>
      <c r="G24" s="5"/>
    </row>
    <row r="25" spans="1:8">
      <c r="A25" s="4" t="s">
        <v>22</v>
      </c>
      <c r="B25" s="4"/>
      <c r="C25" s="4"/>
      <c r="D25" s="5">
        <f>D16*0.03</f>
        <v>72</v>
      </c>
    </row>
    <row r="26" spans="1:8">
      <c r="A26" s="4" t="s">
        <v>23</v>
      </c>
      <c r="B26" s="4"/>
      <c r="C26" s="4"/>
      <c r="D26" s="10">
        <v>400</v>
      </c>
      <c r="E26" s="1" t="s">
        <v>24</v>
      </c>
      <c r="G26" s="13"/>
      <c r="H26" s="1"/>
    </row>
    <row r="27" spans="1:8">
      <c r="A27" s="1" t="s">
        <v>25</v>
      </c>
      <c r="B27" s="4"/>
      <c r="C27" s="4"/>
      <c r="D27" s="10">
        <v>52.5</v>
      </c>
      <c r="G27" s="13"/>
      <c r="H27" s="1"/>
    </row>
    <row r="28" spans="1:8">
      <c r="A28" s="4" t="s">
        <v>26</v>
      </c>
      <c r="B28" s="4"/>
      <c r="C28" s="4"/>
      <c r="D28" s="13">
        <v>32</v>
      </c>
      <c r="G28" s="13"/>
      <c r="H28" s="1"/>
    </row>
    <row r="29" spans="1:8">
      <c r="A29" s="4" t="s">
        <v>27</v>
      </c>
      <c r="B29" s="4"/>
      <c r="C29" s="4"/>
      <c r="D29" s="5">
        <v>17.5</v>
      </c>
      <c r="G29" s="13"/>
      <c r="H29" s="1"/>
    </row>
    <row r="30" spans="1:8">
      <c r="A30" s="4" t="s">
        <v>28</v>
      </c>
      <c r="B30" s="4"/>
      <c r="C30" s="4"/>
      <c r="D30" s="5">
        <v>19.25</v>
      </c>
      <c r="G30" s="13"/>
      <c r="H30" s="1"/>
    </row>
    <row r="31" spans="1:8">
      <c r="A31" s="4" t="s">
        <v>29</v>
      </c>
      <c r="B31" s="4"/>
      <c r="C31" s="4"/>
      <c r="D31" s="5">
        <v>16.95</v>
      </c>
    </row>
    <row r="32" spans="1:8">
      <c r="A32" s="4" t="s">
        <v>30</v>
      </c>
      <c r="B32" s="4"/>
      <c r="C32" s="4"/>
      <c r="D32" s="5">
        <v>102.17</v>
      </c>
    </row>
    <row r="33" spans="1:6">
      <c r="A33" s="4" t="s">
        <v>31</v>
      </c>
      <c r="B33" s="4"/>
      <c r="C33" s="4"/>
      <c r="D33" s="5">
        <v>26.97</v>
      </c>
    </row>
    <row r="34" spans="1:6">
      <c r="A34" s="4" t="s">
        <v>32</v>
      </c>
      <c r="B34" s="4"/>
      <c r="C34" s="4"/>
      <c r="D34" s="5">
        <v>59.94</v>
      </c>
    </row>
    <row r="35" spans="1:6">
      <c r="A35" s="4" t="s">
        <v>33</v>
      </c>
      <c r="B35" s="4"/>
      <c r="C35" s="4"/>
      <c r="D35" s="5">
        <v>43.7</v>
      </c>
    </row>
    <row r="36" spans="1:6">
      <c r="C36" s="11"/>
      <c r="D36" s="11" t="s">
        <v>20</v>
      </c>
      <c r="E36" s="12">
        <f>SUM(D24:D35)</f>
        <v>877.37000000000012</v>
      </c>
    </row>
    <row r="37" spans="1:6">
      <c r="C37" s="14"/>
      <c r="D37" s="11" t="s">
        <v>34</v>
      </c>
      <c r="E37" s="15">
        <f>E21-E36</f>
        <v>5757.88</v>
      </c>
    </row>
    <row r="41" spans="1:6">
      <c r="A41" s="3" t="s">
        <v>35</v>
      </c>
      <c r="C41" s="16" t="s">
        <v>36</v>
      </c>
    </row>
    <row r="42" spans="1:6">
      <c r="A42" s="4" t="s">
        <v>10</v>
      </c>
      <c r="B42" s="4"/>
      <c r="C42" s="4"/>
      <c r="D42" s="5">
        <v>400</v>
      </c>
    </row>
    <row r="43" spans="1:6">
      <c r="A43" s="4" t="s">
        <v>11</v>
      </c>
      <c r="B43" s="4"/>
      <c r="C43" s="4"/>
      <c r="D43" s="5">
        <v>650</v>
      </c>
    </row>
    <row r="44" spans="1:6">
      <c r="A44" s="2" t="str">
        <f>A3</f>
        <v>Add sources of revenue:</v>
      </c>
      <c r="E44" s="5">
        <f>D42-D43</f>
        <v>-250</v>
      </c>
      <c r="F44" s="8" t="s">
        <v>12</v>
      </c>
    </row>
    <row r="45" spans="1:6">
      <c r="A45" s="4" t="s">
        <v>39</v>
      </c>
      <c r="B45" s="4"/>
      <c r="C45" s="4"/>
      <c r="D45" s="5">
        <v>9265</v>
      </c>
    </row>
    <row r="46" spans="1:6">
      <c r="A46" s="4" t="s">
        <v>40</v>
      </c>
      <c r="B46" s="4"/>
      <c r="C46" s="4"/>
      <c r="D46" s="5">
        <v>1125.55</v>
      </c>
    </row>
    <row r="47" spans="1:6">
      <c r="A47" s="4" t="s">
        <v>41</v>
      </c>
      <c r="B47" s="4"/>
      <c r="C47" s="4"/>
      <c r="D47" s="5">
        <v>295</v>
      </c>
    </row>
    <row r="48" spans="1:6">
      <c r="C48" s="11"/>
      <c r="D48" s="11" t="s">
        <v>20</v>
      </c>
      <c r="E48" s="12">
        <f>SUM(D45:D47)</f>
        <v>10685.55</v>
      </c>
    </row>
    <row r="49" spans="1:7">
      <c r="A49" s="2" t="str">
        <f>A6</f>
        <v>Less Expenditures:</v>
      </c>
    </row>
    <row r="50" spans="1:7">
      <c r="A50" s="4" t="s">
        <v>42</v>
      </c>
      <c r="B50" s="4"/>
      <c r="C50" s="4"/>
      <c r="D50" s="5" t="s">
        <v>43</v>
      </c>
      <c r="E50" s="1" t="s">
        <v>44</v>
      </c>
    </row>
    <row r="51" spans="1:7">
      <c r="A51" s="4" t="s">
        <v>45</v>
      </c>
      <c r="B51" s="4">
        <f>50+70</f>
        <v>120</v>
      </c>
      <c r="C51" s="4" t="s">
        <v>46</v>
      </c>
      <c r="D51" s="5">
        <v>274.5</v>
      </c>
      <c r="E51" s="17">
        <v>45368</v>
      </c>
      <c r="G51" s="1"/>
    </row>
    <row r="52" spans="1:7">
      <c r="A52" s="4" t="s">
        <v>47</v>
      </c>
      <c r="B52" s="4">
        <f>48+72+96+108+72+36+60+60+36+36+72+96+72</f>
        <v>864</v>
      </c>
      <c r="C52" s="4" t="s">
        <v>46</v>
      </c>
      <c r="D52" s="5">
        <v>1484.78</v>
      </c>
      <c r="E52" s="17">
        <v>45368</v>
      </c>
      <c r="G52" s="1"/>
    </row>
    <row r="53" spans="1:7">
      <c r="A53" s="4" t="s">
        <v>48</v>
      </c>
      <c r="B53" s="4">
        <f>40+50+40+60+60+60+54+54+40+70+80+50+80+30+30+30+30+170</f>
        <v>1028</v>
      </c>
      <c r="C53" s="4" t="s">
        <v>46</v>
      </c>
      <c r="D53" s="5">
        <v>2218.6999999999998</v>
      </c>
      <c r="E53" s="17">
        <v>45368</v>
      </c>
      <c r="G53" s="1"/>
    </row>
    <row r="54" spans="1:7">
      <c r="A54" s="4" t="s">
        <v>49</v>
      </c>
      <c r="B54" s="4">
        <f>20*5</f>
        <v>100</v>
      </c>
      <c r="C54" s="4" t="s">
        <v>46</v>
      </c>
      <c r="D54" s="5">
        <v>410</v>
      </c>
      <c r="E54" s="17">
        <v>45368</v>
      </c>
      <c r="G54" s="1"/>
    </row>
    <row r="55" spans="1:7">
      <c r="A55" s="4" t="s">
        <v>50</v>
      </c>
      <c r="B55" s="4">
        <v>100</v>
      </c>
      <c r="C55" s="4" t="s">
        <v>46</v>
      </c>
      <c r="D55" s="5">
        <v>200</v>
      </c>
      <c r="E55" s="17">
        <v>45368</v>
      </c>
      <c r="G55" s="1"/>
    </row>
    <row r="56" spans="1:7">
      <c r="A56" s="4" t="s">
        <v>51</v>
      </c>
      <c r="B56" s="4"/>
      <c r="C56" s="4"/>
      <c r="D56" s="5">
        <v>200</v>
      </c>
      <c r="E56" s="17">
        <v>45368</v>
      </c>
      <c r="G56" s="1"/>
    </row>
    <row r="57" spans="1:7">
      <c r="A57" s="4" t="s">
        <v>52</v>
      </c>
      <c r="B57" s="4">
        <f>40+50+30+36+40+100</f>
        <v>296</v>
      </c>
      <c r="C57" s="4" t="s">
        <v>46</v>
      </c>
      <c r="D57" s="5">
        <v>1141.8</v>
      </c>
      <c r="E57" s="17">
        <v>45368</v>
      </c>
      <c r="G57" s="1"/>
    </row>
    <row r="58" spans="1:7">
      <c r="A58" s="4" t="s">
        <v>53</v>
      </c>
      <c r="B58" s="4">
        <f>40+40+3+10+40+30+60+30+30+30</f>
        <v>313</v>
      </c>
      <c r="C58" s="4" t="s">
        <v>46</v>
      </c>
      <c r="D58" s="5">
        <v>1541.6</v>
      </c>
      <c r="E58" s="17">
        <v>45417</v>
      </c>
      <c r="G58" s="1"/>
    </row>
    <row r="59" spans="1:7">
      <c r="A59" s="4" t="s">
        <v>54</v>
      </c>
      <c r="B59" s="4">
        <v>40</v>
      </c>
      <c r="C59" s="4" t="s">
        <v>46</v>
      </c>
      <c r="D59" s="5">
        <v>120</v>
      </c>
      <c r="E59" s="17">
        <v>45417</v>
      </c>
      <c r="G59" s="1"/>
    </row>
    <row r="60" spans="1:7">
      <c r="A60" s="4" t="s">
        <v>55</v>
      </c>
      <c r="B60" s="4">
        <v>10</v>
      </c>
      <c r="C60" s="4" t="s">
        <v>46</v>
      </c>
      <c r="D60" s="5">
        <v>89.4</v>
      </c>
      <c r="E60" s="17">
        <v>45417</v>
      </c>
    </row>
    <row r="61" spans="1:7">
      <c r="A61" s="4" t="s">
        <v>56</v>
      </c>
      <c r="B61" s="4"/>
      <c r="C61" s="4"/>
      <c r="D61" s="5">
        <v>11.9</v>
      </c>
      <c r="E61" s="17">
        <v>45417</v>
      </c>
    </row>
    <row r="62" spans="1:7">
      <c r="A62" s="18" t="s">
        <v>57</v>
      </c>
      <c r="B62" s="4"/>
      <c r="C62" s="4"/>
      <c r="D62" s="5">
        <v>30</v>
      </c>
      <c r="E62" s="17">
        <v>45417</v>
      </c>
    </row>
    <row r="63" spans="1:7">
      <c r="C63" s="11"/>
      <c r="D63" s="11" t="s">
        <v>20</v>
      </c>
      <c r="E63" s="12">
        <f>SUM(D50:D62)</f>
        <v>7722.6799999999985</v>
      </c>
    </row>
    <row r="64" spans="1:7">
      <c r="C64" s="14"/>
      <c r="D64" s="11" t="s">
        <v>34</v>
      </c>
      <c r="E64" s="15">
        <f>D43+E48-E63-D42</f>
        <v>3212.8700000000008</v>
      </c>
    </row>
    <row r="66" spans="1:8">
      <c r="A66" s="3" t="s">
        <v>249</v>
      </c>
      <c r="C66" s="1" t="s">
        <v>250</v>
      </c>
    </row>
    <row r="67" spans="1:8">
      <c r="A67" s="4" t="s">
        <v>10</v>
      </c>
      <c r="B67" s="4"/>
      <c r="C67" s="4"/>
      <c r="D67" s="5">
        <v>650</v>
      </c>
    </row>
    <row r="68" spans="1:8">
      <c r="A68" s="4" t="s">
        <v>11</v>
      </c>
      <c r="B68" s="4"/>
      <c r="C68" s="4"/>
      <c r="D68" s="5">
        <v>330</v>
      </c>
    </row>
    <row r="69" spans="1:8">
      <c r="A69" s="2" t="str">
        <f>A3</f>
        <v>Add sources of revenue:</v>
      </c>
    </row>
    <row r="70" spans="1:8">
      <c r="A70" s="4" t="s">
        <v>39</v>
      </c>
      <c r="B70" s="4"/>
      <c r="C70" s="4"/>
      <c r="D70" s="5">
        <v>5705</v>
      </c>
    </row>
    <row r="71" spans="1:8">
      <c r="A71" s="4" t="s">
        <v>40</v>
      </c>
      <c r="B71" s="4"/>
      <c r="C71" s="4"/>
      <c r="D71" s="5">
        <v>992.65</v>
      </c>
    </row>
    <row r="72" spans="1:8">
      <c r="A72" s="4" t="s">
        <v>41</v>
      </c>
      <c r="B72" s="4"/>
      <c r="C72" s="4"/>
      <c r="D72" s="19" t="s">
        <v>43</v>
      </c>
    </row>
    <row r="73" spans="1:8">
      <c r="C73" s="11"/>
      <c r="D73" s="11" t="s">
        <v>20</v>
      </c>
      <c r="E73" s="12">
        <f>SUM(D70:D72)</f>
        <v>6697.65</v>
      </c>
    </row>
    <row r="74" spans="1:8">
      <c r="A74" s="2"/>
    </row>
    <row r="75" spans="1:8">
      <c r="A75" s="2" t="str">
        <f>A6</f>
        <v>Less Expenditures:</v>
      </c>
    </row>
    <row r="76" spans="1:8">
      <c r="A76" s="4" t="s">
        <v>61</v>
      </c>
      <c r="B76" s="4"/>
      <c r="C76" s="4"/>
      <c r="D76" s="5">
        <v>709.5</v>
      </c>
      <c r="G76" s="1" t="s">
        <v>251</v>
      </c>
    </row>
    <row r="77" spans="1:8">
      <c r="A77" s="4" t="s">
        <v>252</v>
      </c>
      <c r="B77" s="4"/>
      <c r="C77" s="4"/>
      <c r="D77" s="5">
        <v>160.88</v>
      </c>
      <c r="H77" s="1" t="s">
        <v>64</v>
      </c>
    </row>
    <row r="78" spans="1:8">
      <c r="A78" s="4" t="s">
        <v>63</v>
      </c>
      <c r="B78" s="4"/>
      <c r="C78" s="4"/>
      <c r="D78" s="5">
        <v>560</v>
      </c>
      <c r="G78" s="1" t="s">
        <v>66</v>
      </c>
    </row>
    <row r="79" spans="1:8">
      <c r="A79" s="4" t="s">
        <v>65</v>
      </c>
      <c r="B79" s="4"/>
      <c r="C79" s="4"/>
      <c r="D79" s="5">
        <v>36</v>
      </c>
    </row>
    <row r="80" spans="1:8">
      <c r="A80" s="4" t="s">
        <v>67</v>
      </c>
      <c r="B80" s="4"/>
      <c r="C80" s="4"/>
      <c r="D80" s="5">
        <v>14.98</v>
      </c>
    </row>
    <row r="81" spans="1:5">
      <c r="A81" s="4"/>
      <c r="B81" s="4"/>
      <c r="C81" s="4"/>
      <c r="D81" s="5"/>
    </row>
    <row r="82" spans="1:5">
      <c r="A82" s="4" t="s">
        <v>42</v>
      </c>
      <c r="B82" s="4"/>
      <c r="C82" s="4"/>
      <c r="D82" s="5">
        <v>2.5</v>
      </c>
    </row>
    <row r="83" spans="1:5">
      <c r="C83" s="11"/>
      <c r="D83" s="11" t="s">
        <v>20</v>
      </c>
      <c r="E83" s="12">
        <f>SUM(D76:D78)</f>
        <v>1430.38</v>
      </c>
    </row>
    <row r="84" spans="1:5">
      <c r="C84" s="14"/>
      <c r="D84" s="11" t="s">
        <v>34</v>
      </c>
      <c r="E84" s="15">
        <f>D68+E73-E83-D67</f>
        <v>4947.2699999999995</v>
      </c>
    </row>
    <row r="86" spans="1:5">
      <c r="A86" s="3" t="s">
        <v>253</v>
      </c>
      <c r="C86" s="1" t="s">
        <v>36</v>
      </c>
    </row>
    <row r="87" spans="1:5">
      <c r="A87" s="4" t="s">
        <v>10</v>
      </c>
      <c r="B87" s="4"/>
      <c r="C87" s="4"/>
      <c r="D87" s="5">
        <v>0</v>
      </c>
    </row>
    <row r="88" spans="1:5">
      <c r="A88" s="4" t="s">
        <v>11</v>
      </c>
      <c r="B88" s="4"/>
      <c r="C88" s="4"/>
      <c r="D88" s="5">
        <v>0</v>
      </c>
    </row>
    <row r="89" spans="1:5">
      <c r="A89" s="2" t="str">
        <f>$A$3</f>
        <v>Add sources of revenue:</v>
      </c>
    </row>
    <row r="90" spans="1:5">
      <c r="A90" s="4" t="s">
        <v>39</v>
      </c>
      <c r="B90" s="4"/>
      <c r="C90" s="4"/>
      <c r="D90" s="5">
        <v>755</v>
      </c>
    </row>
    <row r="91" spans="1:5">
      <c r="A91" s="4" t="s">
        <v>40</v>
      </c>
      <c r="B91" s="4"/>
      <c r="C91" s="4"/>
      <c r="D91" s="5">
        <v>299.55</v>
      </c>
    </row>
    <row r="92" spans="1:5">
      <c r="C92" s="11"/>
      <c r="D92" s="11" t="s">
        <v>20</v>
      </c>
      <c r="E92" s="12">
        <f>SUM(D90:D91)</f>
        <v>1054.55</v>
      </c>
    </row>
    <row r="93" spans="1:5">
      <c r="A93" s="2" t="str">
        <f>$A$6</f>
        <v>Less Expenditures:</v>
      </c>
    </row>
    <row r="94" spans="1:5">
      <c r="A94" s="4" t="s">
        <v>81</v>
      </c>
      <c r="B94" s="4"/>
      <c r="C94" s="4"/>
      <c r="D94" s="5">
        <v>592.99</v>
      </c>
    </row>
    <row r="95" spans="1:5">
      <c r="C95" s="11"/>
      <c r="D95" s="11" t="s">
        <v>20</v>
      </c>
      <c r="E95" s="12">
        <f>SUM(D94)</f>
        <v>592.99</v>
      </c>
    </row>
    <row r="96" spans="1:5">
      <c r="C96" s="14"/>
      <c r="D96" s="11" t="s">
        <v>34</v>
      </c>
      <c r="E96" s="15">
        <f>D88+E92-E95-D87</f>
        <v>461.55999999999995</v>
      </c>
    </row>
    <row r="97" spans="1:7">
      <c r="A97" s="3"/>
      <c r="C97" s="1"/>
    </row>
    <row r="98" spans="1:7">
      <c r="A98" s="3"/>
      <c r="C98" s="1"/>
    </row>
    <row r="99" spans="1:7">
      <c r="A99" s="3" t="s">
        <v>254</v>
      </c>
      <c r="C99" s="1" t="s">
        <v>36</v>
      </c>
    </row>
    <row r="100" spans="1:7">
      <c r="A100" s="4" t="s">
        <v>10</v>
      </c>
      <c r="B100" s="4"/>
      <c r="C100" s="4"/>
      <c r="D100" s="5">
        <v>330</v>
      </c>
    </row>
    <row r="101" spans="1:7">
      <c r="A101" s="4" t="s">
        <v>11</v>
      </c>
      <c r="B101" s="4"/>
      <c r="C101" s="4"/>
      <c r="D101" s="5">
        <v>330</v>
      </c>
    </row>
    <row r="102" spans="1:7">
      <c r="A102" s="2" t="str">
        <f>A3</f>
        <v>Add sources of revenue:</v>
      </c>
    </row>
    <row r="103" spans="1:7">
      <c r="A103" s="4" t="s">
        <v>39</v>
      </c>
      <c r="B103" s="4"/>
      <c r="C103" s="4"/>
      <c r="D103" s="5">
        <v>8320</v>
      </c>
    </row>
    <row r="104" spans="1:7">
      <c r="A104" s="4" t="s">
        <v>40</v>
      </c>
      <c r="B104" s="4"/>
      <c r="C104" s="4"/>
      <c r="D104" s="5">
        <f>799.2+42.8</f>
        <v>842</v>
      </c>
    </row>
    <row r="105" spans="1:7">
      <c r="A105" s="4" t="s">
        <v>41</v>
      </c>
      <c r="B105" s="4"/>
      <c r="C105" s="4"/>
      <c r="D105" s="5">
        <v>264.7</v>
      </c>
    </row>
    <row r="106" spans="1:7">
      <c r="C106" s="11"/>
      <c r="D106" s="11" t="s">
        <v>20</v>
      </c>
      <c r="E106" s="12">
        <f>SUM(D103:D105)</f>
        <v>9426.7000000000007</v>
      </c>
    </row>
    <row r="107" spans="1:7">
      <c r="A107" s="2" t="e">
        <f>#REF!</f>
        <v>#REF!</v>
      </c>
    </row>
    <row r="108" spans="1:7">
      <c r="A108" s="4" t="s">
        <v>98</v>
      </c>
      <c r="B108" s="4"/>
      <c r="C108" s="4"/>
      <c r="D108" s="5">
        <v>3311.6</v>
      </c>
      <c r="G108" s="1" t="s">
        <v>99</v>
      </c>
    </row>
    <row r="109" spans="1:7">
      <c r="A109" s="4" t="s">
        <v>102</v>
      </c>
      <c r="B109" s="4"/>
      <c r="C109" s="4"/>
      <c r="D109" s="5">
        <v>1498.64</v>
      </c>
      <c r="G109" s="1" t="s">
        <v>103</v>
      </c>
    </row>
    <row r="110" spans="1:7">
      <c r="A110" s="4" t="s">
        <v>104</v>
      </c>
      <c r="B110" s="4"/>
      <c r="C110" s="4"/>
      <c r="D110" s="5">
        <v>270</v>
      </c>
    </row>
    <row r="111" spans="1:7">
      <c r="A111" s="4" t="s">
        <v>42</v>
      </c>
      <c r="B111" s="4"/>
      <c r="C111" s="4"/>
      <c r="D111" s="5" t="s">
        <v>43</v>
      </c>
    </row>
    <row r="112" spans="1:7">
      <c r="C112" s="11"/>
      <c r="D112" s="11" t="s">
        <v>20</v>
      </c>
      <c r="E112" s="12">
        <f>SUM(D108:D110)</f>
        <v>5080.24</v>
      </c>
    </row>
    <row r="113" spans="1:7">
      <c r="C113" s="14"/>
      <c r="D113" s="11" t="s">
        <v>34</v>
      </c>
      <c r="E113" s="15">
        <f>D101+E106-E112-D100</f>
        <v>4346.4600000000009</v>
      </c>
    </row>
    <row r="116" spans="1:7">
      <c r="A116" s="3" t="s">
        <v>255</v>
      </c>
      <c r="C116" s="1" t="s">
        <v>126</v>
      </c>
    </row>
    <row r="117" spans="1:7">
      <c r="A117" s="2" t="str">
        <f>A3</f>
        <v>Add sources of revenue:</v>
      </c>
    </row>
    <row r="118" spans="1:7">
      <c r="A118" s="4" t="s">
        <v>128</v>
      </c>
      <c r="B118" s="4"/>
      <c r="C118" s="4"/>
      <c r="D118" s="5">
        <f>14917.89+21740.39</f>
        <v>36658.28</v>
      </c>
    </row>
    <row r="119" spans="1:7">
      <c r="A119" s="4" t="s">
        <v>17</v>
      </c>
      <c r="B119" s="4"/>
      <c r="C119" s="4"/>
      <c r="D119" s="5">
        <v>2000</v>
      </c>
    </row>
    <row r="120" spans="1:7">
      <c r="C120" s="11"/>
      <c r="D120" s="11" t="s">
        <v>20</v>
      </c>
      <c r="E120" s="12">
        <f>SUM(D118:D119)</f>
        <v>38658.28</v>
      </c>
    </row>
    <row r="121" spans="1:7">
      <c r="A121" s="2" t="str">
        <f>A6</f>
        <v>Less Expenditures:</v>
      </c>
    </row>
    <row r="122" spans="1:7">
      <c r="A122" s="4" t="s">
        <v>129</v>
      </c>
      <c r="B122" s="4"/>
      <c r="C122" s="4"/>
      <c r="D122" s="5">
        <v>1012.5</v>
      </c>
      <c r="G122" s="1" t="s">
        <v>130</v>
      </c>
    </row>
    <row r="123" spans="1:7">
      <c r="A123" s="4" t="s">
        <v>131</v>
      </c>
      <c r="B123" s="4"/>
      <c r="C123" s="4"/>
      <c r="D123" s="5">
        <f>1732.5-D122</f>
        <v>720</v>
      </c>
      <c r="E123" s="1" t="s">
        <v>132</v>
      </c>
      <c r="G123" s="1" t="s">
        <v>130</v>
      </c>
    </row>
    <row r="124" spans="1:7">
      <c r="A124" s="4" t="s">
        <v>137</v>
      </c>
      <c r="B124" s="4"/>
      <c r="C124" s="4"/>
      <c r="D124" s="5">
        <f>44.25+90.23</f>
        <v>134.48000000000002</v>
      </c>
      <c r="G124" s="1" t="s">
        <v>138</v>
      </c>
    </row>
    <row r="125" spans="1:7">
      <c r="A125" s="4" t="s">
        <v>139</v>
      </c>
      <c r="B125" s="4"/>
      <c r="C125" s="4"/>
      <c r="D125" s="5">
        <v>12</v>
      </c>
      <c r="G125" s="1" t="s">
        <v>140</v>
      </c>
    </row>
    <row r="126" spans="1:7">
      <c r="C126" s="11"/>
      <c r="D126" s="11" t="s">
        <v>20</v>
      </c>
      <c r="E126" s="12">
        <f>SUM(D122:D125)</f>
        <v>1878.98</v>
      </c>
    </row>
    <row r="127" spans="1:7">
      <c r="C127" s="14"/>
      <c r="D127" s="11" t="s">
        <v>34</v>
      </c>
      <c r="E127" s="15">
        <f>E120-E126</f>
        <v>36779.299999999996</v>
      </c>
    </row>
    <row r="129" spans="1:7">
      <c r="A129" s="3" t="s">
        <v>142</v>
      </c>
      <c r="C129" s="1" t="s">
        <v>143</v>
      </c>
    </row>
    <row r="131" spans="1:7">
      <c r="A131" s="3" t="s">
        <v>256</v>
      </c>
    </row>
    <row r="132" spans="1:7">
      <c r="A132" s="2" t="str">
        <f>$A$3</f>
        <v>Add sources of revenue:</v>
      </c>
    </row>
    <row r="133" spans="1:7">
      <c r="A133" s="4" t="s">
        <v>13</v>
      </c>
      <c r="B133" s="4"/>
      <c r="C133" s="4"/>
      <c r="D133" s="5"/>
    </row>
    <row r="134" spans="1:7">
      <c r="A134" s="4" t="s">
        <v>14</v>
      </c>
      <c r="B134" s="4"/>
      <c r="C134" s="4"/>
      <c r="D134" s="5"/>
    </row>
    <row r="135" spans="1:7">
      <c r="A135" s="4" t="s">
        <v>108</v>
      </c>
      <c r="B135" s="4"/>
      <c r="C135" s="4"/>
      <c r="D135" s="5"/>
    </row>
    <row r="136" spans="1:7">
      <c r="A136" s="4" t="s">
        <v>109</v>
      </c>
      <c r="B136" s="4"/>
      <c r="C136" s="4"/>
      <c r="D136" s="5"/>
    </row>
    <row r="137" spans="1:7">
      <c r="A137" s="4" t="s">
        <v>39</v>
      </c>
      <c r="B137" s="4"/>
      <c r="C137" s="4"/>
      <c r="D137" s="5"/>
    </row>
    <row r="138" spans="1:7">
      <c r="A138" s="4" t="s">
        <v>40</v>
      </c>
      <c r="B138" s="4"/>
      <c r="C138" s="4"/>
      <c r="D138" s="5"/>
    </row>
    <row r="139" spans="1:7">
      <c r="C139" s="11"/>
      <c r="D139" s="11" t="s">
        <v>20</v>
      </c>
      <c r="E139" s="12">
        <f>SUM(D133:D138)</f>
        <v>0</v>
      </c>
    </row>
    <row r="140" spans="1:7">
      <c r="A140" s="2"/>
    </row>
    <row r="141" spans="1:7">
      <c r="A141" s="2">
        <f>A128</f>
        <v>0</v>
      </c>
    </row>
    <row r="142" spans="1:7">
      <c r="A142" s="4" t="s">
        <v>21</v>
      </c>
      <c r="B142" s="4"/>
      <c r="C142" s="4"/>
      <c r="D142" s="5">
        <v>31.86</v>
      </c>
      <c r="G142" s="1" t="s">
        <v>110</v>
      </c>
    </row>
    <row r="143" spans="1:7">
      <c r="A143" s="4" t="s">
        <v>257</v>
      </c>
      <c r="B143" s="4"/>
      <c r="C143" s="4"/>
      <c r="D143" s="5">
        <v>635</v>
      </c>
      <c r="G143" s="1" t="s">
        <v>112</v>
      </c>
    </row>
    <row r="144" spans="1:7">
      <c r="A144" s="4" t="s">
        <v>258</v>
      </c>
      <c r="B144" s="4"/>
      <c r="C144" s="4"/>
      <c r="D144" s="5">
        <v>20.5</v>
      </c>
      <c r="G144" s="1" t="s">
        <v>115</v>
      </c>
    </row>
    <row r="145" spans="1:27">
      <c r="A145" s="4" t="s">
        <v>259</v>
      </c>
      <c r="B145" s="4"/>
      <c r="C145" s="4"/>
      <c r="D145" s="5">
        <v>92.52</v>
      </c>
      <c r="G145" s="1" t="s">
        <v>116</v>
      </c>
    </row>
    <row r="146" spans="1:27">
      <c r="A146" s="4" t="s">
        <v>42</v>
      </c>
      <c r="B146" s="4"/>
      <c r="C146" s="4"/>
      <c r="D146" s="5">
        <v>2.5</v>
      </c>
    </row>
    <row r="147" spans="1:27">
      <c r="C147" s="11"/>
      <c r="D147" s="11" t="s">
        <v>20</v>
      </c>
      <c r="E147" s="12">
        <f>SUM(D142:D146)</f>
        <v>782.38</v>
      </c>
    </row>
    <row r="148" spans="1:27">
      <c r="C148" s="14"/>
      <c r="D148" s="11" t="s">
        <v>34</v>
      </c>
      <c r="E148" s="15">
        <f>E139-E147</f>
        <v>-782.38</v>
      </c>
    </row>
    <row r="150" spans="1:27">
      <c r="A150" s="3" t="s">
        <v>260</v>
      </c>
    </row>
    <row r="151" spans="1:27">
      <c r="A151" s="24" t="s">
        <v>10</v>
      </c>
      <c r="B151" s="24"/>
      <c r="C151" s="24"/>
      <c r="D151" s="26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>
      <c r="A152" s="24" t="s">
        <v>149</v>
      </c>
      <c r="B152" s="24"/>
      <c r="C152" s="24"/>
      <c r="D152" s="23">
        <v>500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>
      <c r="A153" s="25" t="str">
        <f>$A$3</f>
        <v>Add sources of revenue:</v>
      </c>
      <c r="B153" s="22"/>
      <c r="C153" s="22"/>
      <c r="D153" s="23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>
      <c r="A154" s="24" t="s">
        <v>13</v>
      </c>
      <c r="B154" s="24"/>
      <c r="C154" s="24"/>
      <c r="D154" s="26">
        <v>121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>
      <c r="A155" s="24" t="s">
        <v>14</v>
      </c>
      <c r="B155" s="24"/>
      <c r="C155" s="24"/>
      <c r="D155" s="26">
        <v>90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>
      <c r="A156" s="24" t="s">
        <v>108</v>
      </c>
      <c r="B156" s="24"/>
      <c r="C156" s="24"/>
      <c r="D156" s="26" t="s">
        <v>43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>
      <c r="A157" s="24" t="s">
        <v>109</v>
      </c>
      <c r="B157" s="24"/>
      <c r="C157" s="24"/>
      <c r="D157" s="26" t="s">
        <v>43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>
      <c r="A158" s="24" t="s">
        <v>39</v>
      </c>
      <c r="B158" s="24"/>
      <c r="C158" s="24"/>
      <c r="D158" s="26">
        <v>320</v>
      </c>
      <c r="E158" s="2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>
      <c r="A159" s="24" t="s">
        <v>40</v>
      </c>
      <c r="B159" s="24"/>
      <c r="C159" s="24"/>
      <c r="D159" s="26">
        <v>86.95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>
      <c r="A160" s="24" t="s">
        <v>41</v>
      </c>
      <c r="B160" s="24"/>
      <c r="C160" s="24"/>
      <c r="D160" s="26" t="s">
        <v>43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>
      <c r="A161" s="22"/>
      <c r="B161" s="22"/>
      <c r="C161" s="22"/>
      <c r="D161" s="27" t="s">
        <v>20</v>
      </c>
      <c r="E161" s="28">
        <f>SUM(D154:D160)</f>
        <v>617.95000000000005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>
      <c r="A162" s="24" t="s">
        <v>21</v>
      </c>
      <c r="B162" s="24"/>
      <c r="C162" s="24"/>
      <c r="D162" s="26">
        <v>31.86</v>
      </c>
      <c r="E162" s="22"/>
      <c r="F162" s="22"/>
      <c r="G162" s="22" t="s">
        <v>110</v>
      </c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>
      <c r="A163" s="24" t="s">
        <v>257</v>
      </c>
      <c r="B163" s="24"/>
      <c r="C163" s="24"/>
      <c r="D163" s="26">
        <v>635</v>
      </c>
      <c r="E163" s="22"/>
      <c r="F163" s="22"/>
      <c r="G163" s="22" t="s">
        <v>112</v>
      </c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>
      <c r="A164" s="24" t="s">
        <v>258</v>
      </c>
      <c r="B164" s="24"/>
      <c r="C164" s="24"/>
      <c r="D164" s="26">
        <v>20.5</v>
      </c>
      <c r="E164" s="22"/>
      <c r="F164" s="22"/>
      <c r="G164" s="22" t="s">
        <v>115</v>
      </c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>
      <c r="A165" s="24" t="s">
        <v>259</v>
      </c>
      <c r="B165" s="24"/>
      <c r="C165" s="24"/>
      <c r="D165" s="26">
        <v>92.52</v>
      </c>
      <c r="E165" s="22"/>
      <c r="F165" s="22"/>
      <c r="G165" s="22" t="s">
        <v>116</v>
      </c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>
      <c r="A166" s="24" t="s">
        <v>42</v>
      </c>
      <c r="B166" s="24"/>
      <c r="C166" s="24"/>
      <c r="D166" s="26">
        <v>2.5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>
      <c r="A167" s="22"/>
      <c r="B167" s="22"/>
      <c r="C167" s="22"/>
      <c r="D167" s="27" t="s">
        <v>20</v>
      </c>
      <c r="E167" s="28">
        <f>SUM(D162:D166)</f>
        <v>782.38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>
      <c r="A168" s="22"/>
      <c r="B168" s="22"/>
      <c r="C168" s="30"/>
      <c r="D168" s="25" t="s">
        <v>34</v>
      </c>
      <c r="E168" s="31">
        <f>E138-E167</f>
        <v>-782.38</v>
      </c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>
      <c r="A170" s="3" t="s">
        <v>261</v>
      </c>
    </row>
    <row r="171" spans="1:27">
      <c r="A171" s="4" t="s">
        <v>10</v>
      </c>
      <c r="B171" s="4"/>
      <c r="C171" s="4"/>
      <c r="D171" s="5">
        <v>500</v>
      </c>
    </row>
    <row r="172" spans="1:27">
      <c r="A172" s="4" t="s">
        <v>149</v>
      </c>
      <c r="B172" s="4"/>
      <c r="C172" s="4"/>
      <c r="D172" s="5"/>
    </row>
    <row r="173" spans="1:27">
      <c r="A173" s="2" t="str">
        <f>$A$3</f>
        <v>Add sources of revenue:</v>
      </c>
    </row>
    <row r="174" spans="1:27">
      <c r="A174" s="4" t="s">
        <v>13</v>
      </c>
      <c r="B174" s="4"/>
      <c r="C174" s="4"/>
      <c r="D174" s="5">
        <v>121</v>
      </c>
    </row>
    <row r="175" spans="1:27">
      <c r="A175" s="4" t="s">
        <v>14</v>
      </c>
      <c r="B175" s="4"/>
      <c r="C175" s="4"/>
      <c r="D175" s="5">
        <v>90</v>
      </c>
    </row>
    <row r="176" spans="1:27">
      <c r="A176" s="4" t="s">
        <v>108</v>
      </c>
      <c r="B176" s="4"/>
      <c r="C176" s="4"/>
      <c r="D176" s="19" t="s">
        <v>43</v>
      </c>
    </row>
    <row r="177" spans="1:7">
      <c r="A177" s="4" t="s">
        <v>109</v>
      </c>
      <c r="B177" s="4"/>
      <c r="C177" s="4"/>
      <c r="D177" s="19" t="s">
        <v>43</v>
      </c>
    </row>
    <row r="178" spans="1:7">
      <c r="A178" s="4" t="s">
        <v>39</v>
      </c>
      <c r="B178" s="4"/>
      <c r="C178" s="4"/>
      <c r="D178" s="5">
        <v>320</v>
      </c>
    </row>
    <row r="179" spans="1:7">
      <c r="A179" s="4" t="s">
        <v>40</v>
      </c>
      <c r="B179" s="4"/>
      <c r="C179" s="4"/>
      <c r="D179" s="5">
        <v>86.95</v>
      </c>
    </row>
    <row r="180" spans="1:7">
      <c r="A180" s="4" t="s">
        <v>41</v>
      </c>
      <c r="B180" s="4"/>
      <c r="C180" s="4"/>
      <c r="D180" s="19" t="s">
        <v>43</v>
      </c>
    </row>
    <row r="181" spans="1:7">
      <c r="C181" s="11"/>
      <c r="D181" s="11" t="s">
        <v>20</v>
      </c>
      <c r="E181" s="12">
        <f>SUM(D174:D180)</f>
        <v>617.95000000000005</v>
      </c>
    </row>
    <row r="182" spans="1:7">
      <c r="A182" s="4" t="s">
        <v>21</v>
      </c>
      <c r="B182" s="4"/>
      <c r="C182" s="4"/>
      <c r="D182" s="5">
        <v>31.86</v>
      </c>
      <c r="G182" s="1" t="s">
        <v>110</v>
      </c>
    </row>
    <row r="183" spans="1:7">
      <c r="A183" s="4" t="s">
        <v>257</v>
      </c>
      <c r="B183" s="4"/>
      <c r="C183" s="4"/>
      <c r="D183" s="5">
        <v>635</v>
      </c>
      <c r="G183" s="1" t="s">
        <v>112</v>
      </c>
    </row>
    <row r="184" spans="1:7">
      <c r="A184" s="4" t="s">
        <v>258</v>
      </c>
      <c r="B184" s="4"/>
      <c r="C184" s="4"/>
      <c r="D184" s="5">
        <v>20.5</v>
      </c>
      <c r="G184" s="1" t="s">
        <v>115</v>
      </c>
    </row>
    <row r="185" spans="1:7">
      <c r="A185" s="4" t="s">
        <v>259</v>
      </c>
      <c r="B185" s="4"/>
      <c r="C185" s="4"/>
      <c r="D185" s="5">
        <v>92.52</v>
      </c>
      <c r="G185" s="1" t="s">
        <v>116</v>
      </c>
    </row>
    <row r="186" spans="1:7">
      <c r="A186" s="4" t="s">
        <v>42</v>
      </c>
      <c r="B186" s="4"/>
      <c r="C186" s="4"/>
      <c r="D186" s="5">
        <v>2.5</v>
      </c>
    </row>
    <row r="187" spans="1:7">
      <c r="C187" s="11"/>
      <c r="D187" s="11" t="s">
        <v>20</v>
      </c>
      <c r="E187" s="12">
        <f>SUM(D182:D186)</f>
        <v>782.38</v>
      </c>
    </row>
    <row r="188" spans="1:7">
      <c r="C188" s="14"/>
      <c r="D188" s="11" t="s">
        <v>34</v>
      </c>
      <c r="E188" s="15">
        <f>E158-E187</f>
        <v>-782.38</v>
      </c>
    </row>
    <row r="190" spans="1:7">
      <c r="A190" s="4" t="s">
        <v>108</v>
      </c>
      <c r="B190" s="4"/>
      <c r="C190" s="4"/>
      <c r="D190" s="5"/>
    </row>
    <row r="191" spans="1:7">
      <c r="A191" s="4" t="s">
        <v>109</v>
      </c>
      <c r="B191" s="4"/>
      <c r="C191" s="4"/>
      <c r="D191" s="5"/>
    </row>
    <row r="192" spans="1:7">
      <c r="A192" s="4" t="s">
        <v>39</v>
      </c>
      <c r="B192" s="4"/>
      <c r="C192" s="4"/>
      <c r="D192" s="5"/>
    </row>
    <row r="193" spans="1:7">
      <c r="A193" s="4" t="s">
        <v>40</v>
      </c>
      <c r="B193" s="4"/>
      <c r="C193" s="4"/>
      <c r="D193" s="5"/>
    </row>
    <row r="194" spans="1:7">
      <c r="C194" s="11"/>
      <c r="D194" s="11" t="s">
        <v>20</v>
      </c>
      <c r="E194" s="12">
        <f>SUM(D188:D193)</f>
        <v>0</v>
      </c>
    </row>
    <row r="195" spans="1:7">
      <c r="A195" s="2"/>
    </row>
    <row r="196" spans="1:7">
      <c r="A196" s="3" t="s">
        <v>262</v>
      </c>
    </row>
    <row r="197" spans="1:7">
      <c r="A197" s="4" t="s">
        <v>21</v>
      </c>
      <c r="B197" s="4"/>
      <c r="C197" s="4"/>
      <c r="D197" s="5">
        <v>31.86</v>
      </c>
    </row>
    <row r="198" spans="1:7">
      <c r="A198" s="4" t="s">
        <v>257</v>
      </c>
      <c r="B198" s="4"/>
      <c r="C198" s="4"/>
      <c r="D198" s="5">
        <v>635</v>
      </c>
    </row>
    <row r="199" spans="1:7">
      <c r="A199" s="4" t="s">
        <v>258</v>
      </c>
      <c r="B199" s="4"/>
      <c r="C199" s="4"/>
      <c r="D199" s="5">
        <v>20.5</v>
      </c>
    </row>
    <row r="200" spans="1:7">
      <c r="A200" s="4" t="s">
        <v>259</v>
      </c>
      <c r="B200" s="4"/>
      <c r="C200" s="4"/>
      <c r="D200" s="5">
        <v>92.52</v>
      </c>
    </row>
    <row r="201" spans="1:7">
      <c r="A201" s="4" t="s">
        <v>42</v>
      </c>
      <c r="B201" s="4"/>
      <c r="C201" s="4"/>
      <c r="D201" s="5">
        <v>2.5</v>
      </c>
    </row>
    <row r="202" spans="1:7">
      <c r="C202" s="11"/>
      <c r="D202" s="11" t="s">
        <v>20</v>
      </c>
      <c r="E202" s="12">
        <f>SUM(D197:D201)</f>
        <v>782.38</v>
      </c>
    </row>
    <row r="203" spans="1:7">
      <c r="C203" s="14"/>
      <c r="D203" s="11" t="s">
        <v>34</v>
      </c>
      <c r="E203" s="15">
        <f>E194-E202</f>
        <v>-782.38</v>
      </c>
    </row>
    <row r="204" spans="1:7">
      <c r="A204" s="2"/>
    </row>
    <row r="205" spans="1:7">
      <c r="A205" s="2" t="str">
        <f>A6</f>
        <v>Less Expenditures:</v>
      </c>
    </row>
    <row r="206" spans="1:7">
      <c r="A206" s="4" t="s">
        <v>21</v>
      </c>
      <c r="B206" s="4"/>
      <c r="C206" s="4"/>
      <c r="D206" s="5">
        <v>0</v>
      </c>
    </row>
    <row r="207" spans="1:7">
      <c r="A207" s="4" t="s">
        <v>263</v>
      </c>
      <c r="B207" s="4"/>
      <c r="C207" s="4"/>
      <c r="D207" s="5">
        <v>784.08</v>
      </c>
      <c r="G207" s="1" t="s">
        <v>176</v>
      </c>
    </row>
    <row r="208" spans="1:7">
      <c r="A208" s="4" t="s">
        <v>169</v>
      </c>
      <c r="B208" s="4"/>
      <c r="C208" s="4"/>
      <c r="D208" s="5">
        <v>0</v>
      </c>
    </row>
    <row r="209" spans="1:5">
      <c r="A209" s="4" t="s">
        <v>169</v>
      </c>
      <c r="B209" s="4"/>
      <c r="C209" s="4"/>
      <c r="D209" s="5">
        <v>0</v>
      </c>
    </row>
    <row r="210" spans="1:5">
      <c r="A210" s="4" t="s">
        <v>42</v>
      </c>
      <c r="B210" s="4"/>
      <c r="C210" s="4"/>
      <c r="D210" s="5">
        <v>0</v>
      </c>
    </row>
    <row r="211" spans="1:5">
      <c r="C211" s="11"/>
      <c r="D211" s="11" t="s">
        <v>20</v>
      </c>
      <c r="E211" s="12">
        <f>SUM(D206:D210)</f>
        <v>784.08</v>
      </c>
    </row>
    <row r="212" spans="1:5">
      <c r="C212" s="14"/>
      <c r="D212" s="11" t="s">
        <v>34</v>
      </c>
      <c r="E212" s="15">
        <f>E188-E211</f>
        <v>-1566.46</v>
      </c>
    </row>
    <row r="215" spans="1:5">
      <c r="A215" s="4" t="s">
        <v>10</v>
      </c>
      <c r="B215" s="4"/>
      <c r="C215" s="4"/>
      <c r="D215" s="5">
        <v>401</v>
      </c>
    </row>
    <row r="216" spans="1:5">
      <c r="A216" s="4" t="s">
        <v>11</v>
      </c>
      <c r="B216" s="4"/>
      <c r="C216" s="4"/>
      <c r="D216" s="5">
        <v>330</v>
      </c>
    </row>
    <row r="217" spans="1:5">
      <c r="A217" s="2">
        <f>A187</f>
        <v>0</v>
      </c>
    </row>
    <row r="218" spans="1:5">
      <c r="A218" s="4" t="s">
        <v>13</v>
      </c>
      <c r="B218" s="4"/>
      <c r="C218" s="4"/>
      <c r="D218" s="5">
        <v>121</v>
      </c>
    </row>
    <row r="219" spans="1:5">
      <c r="A219" s="4" t="s">
        <v>14</v>
      </c>
      <c r="B219" s="4"/>
      <c r="C219" s="4"/>
      <c r="D219" s="5">
        <v>90</v>
      </c>
    </row>
    <row r="220" spans="1:5">
      <c r="A220" s="4" t="s">
        <v>108</v>
      </c>
      <c r="B220" s="4"/>
      <c r="C220" s="4"/>
      <c r="D220" s="19" t="s">
        <v>43</v>
      </c>
    </row>
    <row r="221" spans="1:5">
      <c r="A221" s="4" t="s">
        <v>109</v>
      </c>
      <c r="B221" s="4"/>
      <c r="C221" s="4"/>
      <c r="D221" s="19" t="s">
        <v>43</v>
      </c>
    </row>
    <row r="222" spans="1:5">
      <c r="A222" s="4" t="s">
        <v>39</v>
      </c>
      <c r="B222" s="4"/>
      <c r="C222" s="4"/>
      <c r="D222" s="5">
        <v>320</v>
      </c>
    </row>
    <row r="223" spans="1:5">
      <c r="A223" s="4" t="s">
        <v>40</v>
      </c>
      <c r="B223" s="4"/>
      <c r="C223" s="4"/>
      <c r="D223" s="5">
        <v>86.95</v>
      </c>
    </row>
    <row r="224" spans="1:5">
      <c r="A224" s="4" t="s">
        <v>41</v>
      </c>
      <c r="B224" s="4"/>
      <c r="C224" s="4"/>
      <c r="D224" s="19" t="s">
        <v>43</v>
      </c>
    </row>
    <row r="225" spans="3:5">
      <c r="C225" s="11"/>
      <c r="D225" s="11" t="s">
        <v>20</v>
      </c>
      <c r="E225" s="12">
        <f>SUM(D218:D224)</f>
        <v>617.95000000000005</v>
      </c>
    </row>
  </sheetData>
  <printOptions horizontalCentered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 Event 2024</vt:lpstr>
      <vt:lpstr>For Playground</vt:lpstr>
      <vt:lpstr>Jan-May 2024</vt:lpstr>
      <vt:lpstr>Oct 2023</vt:lpstr>
      <vt:lpstr>Per Event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Davidson</dc:creator>
  <cp:lastModifiedBy>Angela Davidson</cp:lastModifiedBy>
  <dcterms:created xsi:type="dcterms:W3CDTF">2025-02-17T00:00:20Z</dcterms:created>
  <dcterms:modified xsi:type="dcterms:W3CDTF">2025-02-17T00:00:20Z</dcterms:modified>
</cp:coreProperties>
</file>